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20" windowHeight="7950" firstSheet="1" activeTab="1"/>
  </bookViews>
  <sheets>
    <sheet name="Sheet1" sheetId="1" state="hidden" r:id="rId1"/>
    <sheet name="INDIA" sheetId="2" r:id="rId2"/>
    <sheet name="ALLSTATES" sheetId="3" r:id="rId3"/>
    <sheet name="Sheet1 (2)" sheetId="4" state="hidden" r:id="rId4"/>
    <sheet name="ALL STATES" sheetId="5" r:id="rId5"/>
  </sheets>
  <definedNames/>
  <calcPr fullCalcOnLoad="1"/>
</workbook>
</file>

<file path=xl/sharedStrings.xml><?xml version="1.0" encoding="utf-8"?>
<sst xmlns="http://schemas.openxmlformats.org/spreadsheetml/2006/main" count="222" uniqueCount="93">
  <si>
    <t>ACCESS</t>
  </si>
  <si>
    <t>1)</t>
  </si>
  <si>
    <t>WATER SUPPLY AND SANITATION</t>
  </si>
  <si>
    <t>Urban</t>
  </si>
  <si>
    <t>Rural</t>
  </si>
  <si>
    <t>Tap Water Facilities (Number of households)</t>
  </si>
  <si>
    <t>Toilet Facility (Number of households)</t>
  </si>
  <si>
    <t>2)</t>
  </si>
  <si>
    <t>i</t>
  </si>
  <si>
    <t>ii</t>
  </si>
  <si>
    <t>Accelerated Rural Water Supply Programme</t>
  </si>
  <si>
    <t>State share</t>
  </si>
  <si>
    <t>Central Schemes</t>
  </si>
  <si>
    <t>State Schemes</t>
  </si>
  <si>
    <t>FISCAL COST AND REVENUE</t>
  </si>
  <si>
    <t>Expenditure on water supply programmes (Rupees in crore)</t>
  </si>
  <si>
    <t>Expenditure on sanitation programmes (Rupees in crore)</t>
  </si>
  <si>
    <t>FISCAL COST &amp; REVENUE</t>
  </si>
  <si>
    <t>DRINKING WATER AND SANITATION</t>
  </si>
  <si>
    <t xml:space="preserve">Rural Households Covered by On Site Sanitation System (in lakh numbers)  </t>
  </si>
  <si>
    <t xml:space="preserve">Rural Households having access to Toilet Facilities as on 31st March (in lakh numbers)  </t>
  </si>
  <si>
    <t>Budget Allocation(Central)(Rs. Lakh)</t>
  </si>
  <si>
    <t>Sanitation</t>
  </si>
  <si>
    <t>Budgetary Expenditure( Central)(Rs. Lakh)</t>
  </si>
  <si>
    <t>Public Investment ( Rs. in Crores)</t>
  </si>
  <si>
    <t>By Centre</t>
  </si>
  <si>
    <t>By States</t>
  </si>
  <si>
    <t>2007-08</t>
  </si>
  <si>
    <t>2008-09</t>
  </si>
  <si>
    <t>2009-10</t>
  </si>
  <si>
    <t>2010-11</t>
  </si>
  <si>
    <t>2011-12</t>
  </si>
  <si>
    <t>Source : Material supplied by Deptt. of Drinking Water Supply, M/o Rural Development</t>
  </si>
  <si>
    <t>India Total</t>
  </si>
  <si>
    <t>UT Total</t>
  </si>
  <si>
    <t>Puducherry</t>
  </si>
  <si>
    <t>Lakshadweep</t>
  </si>
  <si>
    <t>Delhi</t>
  </si>
  <si>
    <t>Daman &amp; Diu</t>
  </si>
  <si>
    <t>Dadar &amp; Nagar Haveli</t>
  </si>
  <si>
    <t>Chandigarh</t>
  </si>
  <si>
    <t>Andaman &amp; Nicobar</t>
  </si>
  <si>
    <t>Union Territories</t>
  </si>
  <si>
    <t xml:space="preserve">State Total </t>
  </si>
  <si>
    <t>West Bengal</t>
  </si>
  <si>
    <t>Uttaranchal</t>
  </si>
  <si>
    <t>Uttar Pradesh</t>
  </si>
  <si>
    <t>Tripura</t>
  </si>
  <si>
    <t>Tamil Nadu</t>
  </si>
  <si>
    <t>Sikkim</t>
  </si>
  <si>
    <t>Rajasthan</t>
  </si>
  <si>
    <t>Punjab</t>
  </si>
  <si>
    <t>Orissa</t>
  </si>
  <si>
    <t>Nagaland</t>
  </si>
  <si>
    <t>Mizoram</t>
  </si>
  <si>
    <t>Meghalaya</t>
  </si>
  <si>
    <t>Manipur</t>
  </si>
  <si>
    <t>Maharastra</t>
  </si>
  <si>
    <t>Madhya Pradesh</t>
  </si>
  <si>
    <t>Kerala</t>
  </si>
  <si>
    <t>Karnataka</t>
  </si>
  <si>
    <t>Jharkhand</t>
  </si>
  <si>
    <t>Jammu &amp; Kashmir</t>
  </si>
  <si>
    <t>Himachal Pradesh</t>
  </si>
  <si>
    <t>Haryana</t>
  </si>
  <si>
    <t>Gujarat</t>
  </si>
  <si>
    <t>Goa</t>
  </si>
  <si>
    <t>Chhattisgarh</t>
  </si>
  <si>
    <t>Bihar</t>
  </si>
  <si>
    <t>Assam</t>
  </si>
  <si>
    <t>Arunachal Pradesh</t>
  </si>
  <si>
    <t>Andhra Pradesh</t>
  </si>
  <si>
    <t>CAGR %</t>
  </si>
  <si>
    <t>State</t>
  </si>
  <si>
    <t>Sl. No.</t>
  </si>
  <si>
    <t>(In lakh numbers)</t>
  </si>
  <si>
    <t xml:space="preserve">          2.NSS Report No.429,1993</t>
  </si>
  <si>
    <t>Source: 1. NSS Report No.488, 2002</t>
  </si>
  <si>
    <t>Grand Total</t>
  </si>
  <si>
    <t>-</t>
  </si>
  <si>
    <t>Maharashtra</t>
  </si>
  <si>
    <t>% Change</t>
  </si>
  <si>
    <t>(in numbers)</t>
  </si>
  <si>
    <t xml:space="preserve">Table 13A.1 :  Statewise Number of Households having access to Toilet facilities per 1000 Households </t>
  </si>
  <si>
    <t xml:space="preserve">Source: 1. NSS report no.429,1993 </t>
  </si>
  <si>
    <t>All India</t>
  </si>
  <si>
    <t>A &amp; N Islands</t>
  </si>
  <si>
    <t>Number</t>
  </si>
  <si>
    <t>Rural +Urban</t>
  </si>
  <si>
    <t>DRINKING WATER &amp; SANITATION</t>
  </si>
  <si>
    <t xml:space="preserve"> Rural Households having Access to Toilet Facilities </t>
  </si>
  <si>
    <t xml:space="preserve">  Statewise Number of Households  having Access to  Tap  Water  Facilities per 1000 Households  </t>
  </si>
  <si>
    <t>_ Not Available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</si>
</sst>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17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36"/>
      <color indexed="17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6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>
        <color theme="6" tint="-0.4999699890613556"/>
      </right>
      <top style="medium"/>
      <bottom style="medium"/>
    </border>
    <border>
      <left/>
      <right style="medium">
        <color theme="6" tint="-0.4999699890613556"/>
      </right>
      <top/>
      <bottom/>
    </border>
    <border>
      <left style="medium">
        <color theme="6" tint="-0.4999699890613556"/>
      </left>
      <right style="medium">
        <color theme="6" tint="-0.4999699890613556"/>
      </right>
      <top/>
      <bottom/>
    </border>
    <border>
      <left/>
      <right/>
      <top/>
      <bottom style="medium">
        <color theme="6" tint="-0.4999699890613556"/>
      </bottom>
    </border>
    <border>
      <left/>
      <right style="medium">
        <color theme="6" tint="-0.4999699890613556"/>
      </right>
      <top/>
      <bottom style="medium">
        <color theme="6" tint="-0.4999699890613556"/>
      </bottom>
    </border>
    <border>
      <left style="medium"/>
      <right style="medium"/>
      <top/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/>
      <bottom/>
    </border>
    <border>
      <left style="medium">
        <color theme="6" tint="-0.4999699890613556"/>
      </left>
      <right style="medium">
        <color theme="1"/>
      </right>
      <top/>
      <bottom style="medium">
        <color theme="6" tint="-0.4999699890613556"/>
      </bottom>
    </border>
    <border>
      <left style="medium">
        <color theme="6" tint="-0.4999699890613556"/>
      </left>
      <right style="medium">
        <color theme="1"/>
      </right>
      <top style="medium"/>
      <bottom/>
    </border>
    <border>
      <left/>
      <right/>
      <top style="medium">
        <color theme="6" tint="-0.4999699890613556"/>
      </top>
      <bottom style="medium"/>
    </border>
    <border>
      <left/>
      <right style="medium">
        <color theme="6" tint="-0.4999699890613556"/>
      </right>
      <top style="medium">
        <color theme="6" tint="-0.4999699890613556"/>
      </top>
      <bottom style="medium"/>
    </border>
    <border>
      <left/>
      <right/>
      <top style="medium"/>
      <bottom style="medium">
        <color theme="1"/>
      </bottom>
    </border>
    <border>
      <left/>
      <right style="medium">
        <color theme="6" tint="-0.4999699890613556"/>
      </right>
      <top style="medium"/>
      <bottom style="medium">
        <color theme="1"/>
      </bottom>
    </border>
    <border>
      <left/>
      <right/>
      <top style="thin"/>
      <bottom style="medium">
        <color theme="6" tint="-0.4999699890613556"/>
      </bottom>
    </border>
    <border>
      <left style="medium">
        <color theme="6" tint="-0.4999699890613556"/>
      </left>
      <right/>
      <top style="thin"/>
      <bottom style="medium">
        <color theme="6" tint="-0.4999699890613556"/>
      </bottom>
    </border>
    <border>
      <left/>
      <right style="medium">
        <color theme="6" tint="-0.4999699890613556"/>
      </right>
      <top style="thin"/>
      <bottom/>
    </border>
    <border>
      <left/>
      <right/>
      <top style="thin"/>
      <bottom/>
    </border>
    <border>
      <left style="medium">
        <color theme="6" tint="-0.4999699890613556"/>
      </left>
      <right/>
      <top/>
      <bottom/>
    </border>
    <border>
      <left/>
      <right style="medium">
        <color theme="6" tint="-0.4999699890613556"/>
      </right>
      <top/>
      <bottom style="thin"/>
    </border>
    <border>
      <left/>
      <right/>
      <top/>
      <bottom style="thin"/>
    </border>
    <border>
      <left style="medium">
        <color theme="6" tint="-0.4999699890613556"/>
      </left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>
        <color theme="6" tint="-0.4999699890613556"/>
      </bottom>
    </border>
    <border>
      <left style="medium"/>
      <right/>
      <top style="thin"/>
      <bottom style="medium">
        <color theme="6" tint="-0.4999699890613556"/>
      </bottom>
    </border>
    <border>
      <left/>
      <right style="medium">
        <color theme="6" tint="-0.4999699890613556"/>
      </right>
      <top style="thin"/>
      <bottom style="medium">
        <color theme="6" tint="-0.4999699890613556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>
        <color theme="6" tint="-0.4999699890613556"/>
      </left>
      <right style="medium">
        <color theme="6" tint="-0.4999699890613556"/>
      </right>
      <top style="medium">
        <color theme="1"/>
      </top>
      <bottom/>
    </border>
    <border>
      <left style="medium">
        <color theme="6" tint="-0.4999699890613556"/>
      </left>
      <right style="medium">
        <color theme="6" tint="-0.4999699890613556"/>
      </right>
      <top/>
      <bottom style="medium"/>
    </border>
    <border>
      <left style="medium"/>
      <right style="medium"/>
      <top style="medium"/>
      <bottom style="medium">
        <color theme="1"/>
      </bottom>
    </border>
    <border>
      <left style="medium">
        <color theme="6" tint="-0.4999699890613556"/>
      </left>
      <right style="medium">
        <color theme="6" tint="-0.4999699890613556"/>
      </right>
      <top style="medium"/>
      <bottom style="medium">
        <color theme="1"/>
      </bottom>
    </border>
    <border>
      <left style="medium">
        <color theme="6" tint="-0.4999699890613556"/>
      </left>
      <right style="medium">
        <color theme="1"/>
      </right>
      <top style="medium"/>
      <bottom style="medium">
        <color theme="1"/>
      </bottom>
    </border>
    <border>
      <left/>
      <right style="medium">
        <color theme="1"/>
      </right>
      <top style="thin"/>
      <bottom/>
    </border>
    <border>
      <left/>
      <right style="medium">
        <color theme="1"/>
      </right>
      <top style="medium"/>
      <bottom style="medium"/>
    </border>
    <border>
      <left/>
      <right style="medium">
        <color theme="1"/>
      </right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medium">
        <color theme="6" tint="-0.4999699890613556"/>
      </bottom>
    </border>
    <border>
      <left/>
      <right style="medium"/>
      <top/>
      <bottom style="medium">
        <color theme="6" tint="-0.4999699890613556"/>
      </bottom>
    </border>
    <border>
      <left style="medium">
        <color theme="1"/>
      </left>
      <right style="medium">
        <color theme="1"/>
      </right>
      <top/>
      <bottom style="medium">
        <color theme="6" tint="-0.4999699890613556"/>
      </bottom>
    </border>
    <border>
      <left/>
      <right/>
      <top style="medium"/>
      <bottom style="thin"/>
    </border>
    <border>
      <left style="medium">
        <color theme="6" tint="-0.4999699890613556"/>
      </left>
      <right/>
      <top style="medium">
        <color theme="6" tint="-0.4999699890613556"/>
      </top>
      <bottom style="medium">
        <color theme="1"/>
      </bottom>
    </border>
    <border>
      <left/>
      <right/>
      <top style="medium">
        <color theme="6" tint="-0.4999699890613556"/>
      </top>
      <bottom style="medium">
        <color theme="1"/>
      </bottom>
    </border>
    <border>
      <left/>
      <right style="medium">
        <color theme="6" tint="-0.4999699890613556"/>
      </right>
      <top style="medium">
        <color theme="6" tint="-0.4999699890613556"/>
      </top>
      <bottom style="medium">
        <color theme="1"/>
      </bottom>
    </border>
    <border>
      <left style="medium">
        <color theme="6" tint="-0.4999699890613556"/>
      </left>
      <right/>
      <top/>
      <bottom style="thin"/>
    </border>
    <border>
      <left style="medium">
        <color theme="6" tint="-0.4999699890613556"/>
      </left>
      <right/>
      <top style="medium">
        <color theme="6" tint="-0.4999699890613556"/>
      </top>
      <bottom/>
    </border>
    <border>
      <left/>
      <right/>
      <top style="medium">
        <color theme="6" tint="-0.4999699890613556"/>
      </top>
      <bottom/>
    </border>
    <border>
      <left/>
      <right style="medium">
        <color theme="6" tint="-0.4999699890613556"/>
      </right>
      <top style="medium">
        <color theme="6" tint="-0.4999699890613556"/>
      </top>
      <bottom/>
    </border>
    <border>
      <left/>
      <right/>
      <top style="thin"/>
      <bottom style="thin"/>
    </border>
    <border>
      <left/>
      <right style="medium">
        <color theme="6" tint="-0.4999699890613556"/>
      </right>
      <top style="thin"/>
      <bottom style="thin"/>
    </border>
    <border>
      <left/>
      <right/>
      <top style="medium">
        <color theme="6" tint="-0.4999699890613556"/>
      </top>
      <bottom style="thin"/>
    </border>
    <border>
      <left/>
      <right style="medium">
        <color theme="6" tint="-0.4999699890613556"/>
      </right>
      <top style="medium">
        <color theme="6" tint="-0.4999699890613556"/>
      </top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2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10" borderId="21" xfId="23" applyBorder="1" applyAlignment="1">
      <alignment horizontal="center"/>
    </xf>
    <xf numFmtId="0" fontId="0" fillId="10" borderId="22" xfId="23" applyBorder="1" applyAlignment="1">
      <alignment horizontal="center"/>
    </xf>
    <xf numFmtId="0" fontId="0" fillId="10" borderId="23" xfId="23" applyBorder="1" applyAlignment="1">
      <alignment horizontal="center" vertical="top" wrapText="1"/>
    </xf>
    <xf numFmtId="0" fontId="0" fillId="10" borderId="24" xfId="23" applyBorder="1" applyAlignment="1">
      <alignment horizontal="center" vertical="top" wrapText="1"/>
    </xf>
    <xf numFmtId="0" fontId="0" fillId="4" borderId="18" xfId="17" applyBorder="1" applyAlignment="1">
      <alignment horizontal="center"/>
    </xf>
    <xf numFmtId="0" fontId="0" fillId="4" borderId="0" xfId="17" applyBorder="1" applyAlignment="1">
      <alignment horizontal="center"/>
    </xf>
    <xf numFmtId="0" fontId="0" fillId="4" borderId="17" xfId="17" applyBorder="1" applyAlignment="1">
      <alignment horizontal="center"/>
    </xf>
    <xf numFmtId="0" fontId="0" fillId="4" borderId="14" xfId="17" applyBorder="1" applyAlignment="1">
      <alignment horizontal="center"/>
    </xf>
    <xf numFmtId="0" fontId="0" fillId="4" borderId="17" xfId="17" applyBorder="1" applyAlignment="1">
      <alignment/>
    </xf>
    <xf numFmtId="0" fontId="0" fillId="4" borderId="14" xfId="17" applyBorder="1" applyAlignment="1">
      <alignment/>
    </xf>
    <xf numFmtId="0" fontId="0" fillId="4" borderId="18" xfId="17" applyBorder="1" applyAlignment="1">
      <alignment/>
    </xf>
    <xf numFmtId="0" fontId="0" fillId="4" borderId="0" xfId="17" applyBorder="1" applyAlignment="1">
      <alignment/>
    </xf>
    <xf numFmtId="0" fontId="0" fillId="10" borderId="12" xfId="23" applyBorder="1" applyAlignment="1">
      <alignment horizontal="left"/>
    </xf>
    <xf numFmtId="0" fontId="0" fillId="10" borderId="25" xfId="23" applyBorder="1" applyAlignment="1">
      <alignment horizontal="left"/>
    </xf>
    <xf numFmtId="0" fontId="0" fillId="10" borderId="12" xfId="23" applyBorder="1" applyAlignment="1">
      <alignment horizontal="left" wrapText="1"/>
    </xf>
    <xf numFmtId="0" fontId="49" fillId="10" borderId="21" xfId="23" applyFont="1" applyBorder="1" applyAlignment="1">
      <alignment horizontal="center"/>
    </xf>
    <xf numFmtId="0" fontId="48" fillId="10" borderId="23" xfId="23" applyFont="1" applyBorder="1" applyAlignment="1">
      <alignment horizontal="center" vertical="top" wrapText="1"/>
    </xf>
    <xf numFmtId="0" fontId="48" fillId="0" borderId="26" xfId="0" applyFont="1" applyBorder="1" applyAlignment="1">
      <alignment horizontal="center"/>
    </xf>
    <xf numFmtId="0" fontId="0" fillId="4" borderId="0" xfId="17" applyAlignment="1">
      <alignment/>
    </xf>
    <xf numFmtId="0" fontId="0" fillId="10" borderId="12" xfId="23" applyBorder="1" applyAlignment="1">
      <alignment/>
    </xf>
    <xf numFmtId="0" fontId="0" fillId="10" borderId="27" xfId="23" applyBorder="1" applyAlignment="1">
      <alignment/>
    </xf>
    <xf numFmtId="0" fontId="0" fillId="4" borderId="28" xfId="17" applyBorder="1" applyAlignment="1">
      <alignment/>
    </xf>
    <xf numFmtId="0" fontId="0" fillId="0" borderId="29" xfId="0" applyBorder="1" applyAlignment="1">
      <alignment/>
    </xf>
    <xf numFmtId="0" fontId="0" fillId="4" borderId="30" xfId="17" applyBorder="1" applyAlignment="1">
      <alignment/>
    </xf>
    <xf numFmtId="0" fontId="0" fillId="4" borderId="31" xfId="17" applyBorder="1" applyAlignment="1">
      <alignment/>
    </xf>
    <xf numFmtId="0" fontId="0" fillId="4" borderId="16" xfId="17" applyBorder="1" applyAlignment="1">
      <alignment/>
    </xf>
    <xf numFmtId="0" fontId="0" fillId="4" borderId="32" xfId="17" applyBorder="1" applyAlignment="1">
      <alignment/>
    </xf>
    <xf numFmtId="0" fontId="0" fillId="4" borderId="33" xfId="17" applyBorder="1" applyAlignment="1">
      <alignment/>
    </xf>
    <xf numFmtId="0" fontId="0" fillId="4" borderId="34" xfId="17" applyBorder="1" applyAlignment="1">
      <alignment/>
    </xf>
    <xf numFmtId="0" fontId="0" fillId="4" borderId="35" xfId="17" applyBorder="1" applyAlignment="1">
      <alignment/>
    </xf>
    <xf numFmtId="0" fontId="48" fillId="10" borderId="12" xfId="23" applyFont="1" applyBorder="1" applyAlignment="1">
      <alignment/>
    </xf>
    <xf numFmtId="0" fontId="0" fillId="10" borderId="36" xfId="23" applyBorder="1" applyAlignment="1">
      <alignment/>
    </xf>
    <xf numFmtId="0" fontId="0" fillId="10" borderId="37" xfId="23" applyBorder="1" applyAlignment="1">
      <alignment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8" fillId="0" borderId="0" xfId="55" applyFont="1" applyAlignment="1">
      <alignment vertical="top"/>
      <protection/>
    </xf>
    <xf numFmtId="0" fontId="9" fillId="0" borderId="0" xfId="55" applyFont="1" applyBorder="1" applyAlignment="1">
      <alignment vertical="top"/>
      <protection/>
    </xf>
    <xf numFmtId="2" fontId="0" fillId="4" borderId="40" xfId="17" applyNumberFormat="1" applyBorder="1" applyAlignment="1">
      <alignment horizontal="right" vertical="top"/>
    </xf>
    <xf numFmtId="0" fontId="0" fillId="4" borderId="41" xfId="17" applyBorder="1" applyAlignment="1">
      <alignment horizontal="center" vertical="top"/>
    </xf>
    <xf numFmtId="0" fontId="8" fillId="0" borderId="29" xfId="55" applyFont="1" applyBorder="1" applyAlignment="1">
      <alignment vertical="top"/>
      <protection/>
    </xf>
    <xf numFmtId="2" fontId="0" fillId="4" borderId="42" xfId="17" applyNumberFormat="1" applyBorder="1" applyAlignment="1">
      <alignment vertical="top"/>
    </xf>
    <xf numFmtId="2" fontId="0" fillId="4" borderId="43" xfId="17" applyNumberFormat="1" applyBorder="1" applyAlignment="1">
      <alignment horizontal="right" vertical="top"/>
    </xf>
    <xf numFmtId="2" fontId="0" fillId="4" borderId="28" xfId="17" applyNumberFormat="1" applyBorder="1" applyAlignment="1">
      <alignment vertical="top"/>
    </xf>
    <xf numFmtId="2" fontId="0" fillId="4" borderId="0" xfId="17" applyNumberFormat="1" applyBorder="1" applyAlignment="1">
      <alignment horizontal="right" vertical="top"/>
    </xf>
    <xf numFmtId="0" fontId="0" fillId="4" borderId="0" xfId="17" applyBorder="1" applyAlignment="1">
      <alignment vertical="top"/>
    </xf>
    <xf numFmtId="0" fontId="0" fillId="4" borderId="44" xfId="17" applyBorder="1" applyAlignment="1">
      <alignment horizontal="center" vertical="top"/>
    </xf>
    <xf numFmtId="0" fontId="10" fillId="0" borderId="45" xfId="55" applyFont="1" applyBorder="1" applyAlignment="1">
      <alignment horizontal="center" vertical="top" wrapText="1"/>
      <protection/>
    </xf>
    <xf numFmtId="0" fontId="9" fillId="0" borderId="0" xfId="55" applyFont="1" applyBorder="1" applyAlignment="1">
      <alignment horizontal="center" vertical="top"/>
      <protection/>
    </xf>
    <xf numFmtId="0" fontId="9" fillId="0" borderId="0" xfId="55" applyFont="1" applyBorder="1" applyAlignment="1">
      <alignment horizontal="left" vertical="top"/>
      <protection/>
    </xf>
    <xf numFmtId="0" fontId="10" fillId="0" borderId="46" xfId="55" applyFont="1" applyBorder="1" applyAlignment="1">
      <alignment horizontal="center" vertical="top" wrapText="1"/>
      <protection/>
    </xf>
    <xf numFmtId="0" fontId="10" fillId="0" borderId="46" xfId="55" applyFont="1" applyBorder="1" applyAlignment="1">
      <alignment horizontal="center" vertical="top"/>
      <protection/>
    </xf>
    <xf numFmtId="0" fontId="8" fillId="0" borderId="0" xfId="55" applyFont="1" applyBorder="1" applyAlignment="1">
      <alignment vertical="top"/>
      <protection/>
    </xf>
    <xf numFmtId="0" fontId="10" fillId="0" borderId="47" xfId="55" applyFont="1" applyBorder="1" applyAlignment="1">
      <alignment horizontal="center" vertical="top" wrapText="1"/>
      <protection/>
    </xf>
    <xf numFmtId="0" fontId="0" fillId="4" borderId="43" xfId="17" applyBorder="1" applyAlignment="1">
      <alignment horizontal="center" vertical="top"/>
    </xf>
    <xf numFmtId="0" fontId="0" fillId="4" borderId="0" xfId="17" applyBorder="1" applyAlignment="1">
      <alignment horizontal="right" vertical="top"/>
    </xf>
    <xf numFmtId="164" fontId="0" fillId="4" borderId="0" xfId="17" applyNumberFormat="1" applyBorder="1" applyAlignment="1">
      <alignment vertical="top"/>
    </xf>
    <xf numFmtId="164" fontId="0" fillId="4" borderId="0" xfId="17" applyNumberFormat="1" applyBorder="1" applyAlignment="1">
      <alignment horizontal="right" vertical="top"/>
    </xf>
    <xf numFmtId="0" fontId="0" fillId="4" borderId="48" xfId="17" applyBorder="1" applyAlignment="1">
      <alignment vertical="top"/>
    </xf>
    <xf numFmtId="0" fontId="0" fillId="4" borderId="16" xfId="17" applyBorder="1" applyAlignment="1">
      <alignment vertical="top"/>
    </xf>
    <xf numFmtId="0" fontId="0" fillId="4" borderId="48" xfId="17" applyBorder="1" applyAlignment="1">
      <alignment horizontal="right" vertical="top"/>
    </xf>
    <xf numFmtId="0" fontId="0" fillId="4" borderId="16" xfId="17" applyBorder="1" applyAlignment="1">
      <alignment horizontal="right" vertical="top"/>
    </xf>
    <xf numFmtId="0" fontId="0" fillId="4" borderId="49" xfId="17" applyBorder="1" applyAlignment="1">
      <alignment horizontal="right" vertical="top"/>
    </xf>
    <xf numFmtId="164" fontId="0" fillId="4" borderId="42" xfId="17" applyNumberFormat="1" applyBorder="1" applyAlignment="1">
      <alignment vertical="top"/>
    </xf>
    <xf numFmtId="0" fontId="0" fillId="4" borderId="10" xfId="17" applyBorder="1" applyAlignment="1">
      <alignment horizontal="right" vertical="top"/>
    </xf>
    <xf numFmtId="164" fontId="0" fillId="4" borderId="28" xfId="17" applyNumberFormat="1" applyBorder="1" applyAlignment="1">
      <alignment vertical="top"/>
    </xf>
    <xf numFmtId="164" fontId="0" fillId="4" borderId="28" xfId="17" applyNumberFormat="1" applyBorder="1" applyAlignment="1">
      <alignment horizontal="right" vertical="top"/>
    </xf>
    <xf numFmtId="0" fontId="45" fillId="4" borderId="16" xfId="17" applyFont="1" applyBorder="1" applyAlignment="1">
      <alignment vertical="top"/>
    </xf>
    <xf numFmtId="0" fontId="45" fillId="4" borderId="50" xfId="17" applyFont="1" applyBorder="1" applyAlignment="1">
      <alignment vertical="top"/>
    </xf>
    <xf numFmtId="0" fontId="45" fillId="4" borderId="40" xfId="17" applyFont="1" applyBorder="1" applyAlignment="1">
      <alignment horizontal="right" vertical="top"/>
    </xf>
    <xf numFmtId="0" fontId="45" fillId="4" borderId="40" xfId="17" applyFont="1" applyBorder="1" applyAlignment="1">
      <alignment vertical="top"/>
    </xf>
    <xf numFmtId="164" fontId="45" fillId="4" borderId="40" xfId="17" applyNumberFormat="1" applyFont="1" applyBorder="1" applyAlignment="1">
      <alignment vertical="top"/>
    </xf>
    <xf numFmtId="0" fontId="45" fillId="4" borderId="50" xfId="17" applyFont="1" applyBorder="1" applyAlignment="1">
      <alignment horizontal="right" vertical="top"/>
    </xf>
    <xf numFmtId="0" fontId="45" fillId="4" borderId="51" xfId="17" applyFont="1" applyBorder="1" applyAlignment="1">
      <alignment horizontal="right" vertical="top"/>
    </xf>
    <xf numFmtId="164" fontId="45" fillId="4" borderId="52" xfId="17" applyNumberFormat="1" applyFont="1" applyBorder="1" applyAlignment="1">
      <alignment vertical="top"/>
    </xf>
    <xf numFmtId="2" fontId="0" fillId="4" borderId="53" xfId="17" applyNumberFormat="1" applyBorder="1" applyAlignment="1">
      <alignment horizontal="right" vertical="top"/>
    </xf>
    <xf numFmtId="2" fontId="0" fillId="4" borderId="54" xfId="17" applyNumberFormat="1" applyBorder="1" applyAlignment="1">
      <alignment horizontal="right" vertical="top"/>
    </xf>
    <xf numFmtId="2" fontId="0" fillId="4" borderId="16" xfId="17" applyNumberFormat="1" applyBorder="1" applyAlignment="1">
      <alignment horizontal="right" vertical="top"/>
    </xf>
    <xf numFmtId="2" fontId="0" fillId="4" borderId="48" xfId="17" applyNumberFormat="1" applyBorder="1" applyAlignment="1">
      <alignment horizontal="right" vertical="top"/>
    </xf>
    <xf numFmtId="0" fontId="11" fillId="0" borderId="55" xfId="55" applyFont="1" applyBorder="1" applyAlignment="1">
      <alignment horizontal="center" vertical="top"/>
      <protection/>
    </xf>
    <xf numFmtId="0" fontId="11" fillId="0" borderId="56" xfId="55" applyFont="1" applyBorder="1" applyAlignment="1">
      <alignment horizontal="center" vertical="top" wrapText="1"/>
      <protection/>
    </xf>
    <xf numFmtId="0" fontId="11" fillId="0" borderId="0" xfId="55" applyFont="1" applyAlignment="1">
      <alignment vertical="top"/>
      <protection/>
    </xf>
    <xf numFmtId="0" fontId="10" fillId="0" borderId="26" xfId="55" applyFont="1" applyBorder="1" applyAlignment="1">
      <alignment horizontal="center" vertical="top" wrapText="1"/>
      <protection/>
    </xf>
    <xf numFmtId="0" fontId="10" fillId="0" borderId="0" xfId="55" applyFont="1" applyBorder="1" applyAlignment="1">
      <alignment horizontal="center" vertical="top" wrapText="1"/>
      <protection/>
    </xf>
    <xf numFmtId="0" fontId="0" fillId="4" borderId="48" xfId="17" applyBorder="1" applyAlignment="1">
      <alignment horizontal="center" vertical="top"/>
    </xf>
    <xf numFmtId="0" fontId="0" fillId="4" borderId="44" xfId="17" applyBorder="1" applyAlignment="1">
      <alignment horizontal="center" vertical="top"/>
    </xf>
    <xf numFmtId="2" fontId="45" fillId="4" borderId="40" xfId="17" applyNumberFormat="1" applyFont="1" applyBorder="1" applyAlignment="1">
      <alignment horizontal="right" vertical="top"/>
    </xf>
    <xf numFmtId="2" fontId="45" fillId="4" borderId="52" xfId="17" applyNumberFormat="1" applyFont="1" applyBorder="1" applyAlignment="1">
      <alignment vertical="top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45" fillId="0" borderId="33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50" fillId="0" borderId="59" xfId="0" applyFont="1" applyBorder="1" applyAlignment="1">
      <alignment horizontal="center"/>
    </xf>
    <xf numFmtId="0" fontId="50" fillId="0" borderId="60" xfId="0" applyFont="1" applyBorder="1" applyAlignment="1">
      <alignment horizontal="center"/>
    </xf>
    <xf numFmtId="0" fontId="0" fillId="0" borderId="61" xfId="0" applyBorder="1" applyAlignment="1">
      <alignment/>
    </xf>
    <xf numFmtId="0" fontId="10" fillId="0" borderId="28" xfId="55" applyFont="1" applyBorder="1" applyAlignment="1">
      <alignment horizontal="center" vertical="top" wrapText="1"/>
      <protection/>
    </xf>
    <xf numFmtId="0" fontId="8" fillId="0" borderId="12" xfId="55" applyFont="1" applyBorder="1" applyAlignment="1">
      <alignment vertical="top"/>
      <protection/>
    </xf>
    <xf numFmtId="0" fontId="0" fillId="10" borderId="62" xfId="23" applyBorder="1" applyAlignment="1">
      <alignment vertical="top"/>
    </xf>
    <xf numFmtId="0" fontId="0" fillId="0" borderId="63" xfId="0" applyBorder="1" applyAlignment="1">
      <alignment/>
    </xf>
    <xf numFmtId="0" fontId="0" fillId="10" borderId="64" xfId="23" applyBorder="1" applyAlignment="1">
      <alignment vertical="top"/>
    </xf>
    <xf numFmtId="2" fontId="0" fillId="4" borderId="16" xfId="17" applyNumberFormat="1" applyFont="1" applyBorder="1" applyAlignment="1">
      <alignment horizontal="right" vertical="top"/>
    </xf>
    <xf numFmtId="2" fontId="0" fillId="4" borderId="14" xfId="17" applyNumberFormat="1" applyBorder="1" applyAlignment="1">
      <alignment horizontal="right" vertical="top"/>
    </xf>
    <xf numFmtId="2" fontId="0" fillId="4" borderId="17" xfId="17" applyNumberFormat="1" applyBorder="1" applyAlignment="1">
      <alignment horizontal="right" vertical="top"/>
    </xf>
    <xf numFmtId="0" fontId="0" fillId="4" borderId="48" xfId="17" applyBorder="1" applyAlignment="1">
      <alignment horizontal="center" vertical="top" wrapText="1"/>
    </xf>
    <xf numFmtId="0" fontId="0" fillId="4" borderId="0" xfId="17" applyBorder="1" applyAlignment="1">
      <alignment horizontal="center" vertical="top" wrapText="1"/>
    </xf>
    <xf numFmtId="0" fontId="8" fillId="0" borderId="44" xfId="55" applyFont="1" applyBorder="1" applyAlignment="1">
      <alignment vertical="top"/>
      <protection/>
    </xf>
    <xf numFmtId="0" fontId="0" fillId="4" borderId="65" xfId="17" applyBorder="1" applyAlignment="1">
      <alignment horizontal="center" vertical="top"/>
    </xf>
    <xf numFmtId="0" fontId="0" fillId="4" borderId="26" xfId="17" applyBorder="1" applyAlignment="1">
      <alignment horizontal="center" vertical="top"/>
    </xf>
    <xf numFmtId="0" fontId="0" fillId="4" borderId="66" xfId="17" applyBorder="1" applyAlignment="1">
      <alignment horizontal="center" vertical="top"/>
    </xf>
    <xf numFmtId="0" fontId="11" fillId="0" borderId="0" xfId="55" applyFont="1" applyBorder="1" applyAlignment="1">
      <alignment horizontal="center" vertical="top" wrapText="1"/>
      <protection/>
    </xf>
    <xf numFmtId="0" fontId="11" fillId="0" borderId="0" xfId="55" applyFont="1" applyBorder="1" applyAlignment="1">
      <alignment horizontal="center" vertical="top"/>
      <protection/>
    </xf>
    <xf numFmtId="0" fontId="0" fillId="10" borderId="12" xfId="23" applyBorder="1" applyAlignment="1">
      <alignment vertical="top"/>
    </xf>
    <xf numFmtId="0" fontId="0" fillId="4" borderId="43" xfId="17" applyBorder="1" applyAlignment="1">
      <alignment horizontal="center" vertical="top" wrapText="1"/>
    </xf>
    <xf numFmtId="0" fontId="10" fillId="0" borderId="0" xfId="55" applyFont="1" applyBorder="1" applyAlignment="1">
      <alignment vertical="top"/>
      <protection/>
    </xf>
    <xf numFmtId="0" fontId="0" fillId="4" borderId="54" xfId="17" applyBorder="1" applyAlignment="1">
      <alignment horizontal="right" vertical="top"/>
    </xf>
    <xf numFmtId="0" fontId="0" fillId="4" borderId="46" xfId="17" applyBorder="1" applyAlignment="1">
      <alignment horizontal="right" vertical="top"/>
    </xf>
    <xf numFmtId="0" fontId="0" fillId="0" borderId="67" xfId="0" applyBorder="1" applyAlignment="1">
      <alignment/>
    </xf>
    <xf numFmtId="0" fontId="0" fillId="4" borderId="32" xfId="17" applyBorder="1" applyAlignment="1">
      <alignment horizontal="right" vertical="top"/>
    </xf>
    <xf numFmtId="0" fontId="0" fillId="4" borderId="30" xfId="17" applyBorder="1" applyAlignment="1">
      <alignment horizontal="right" vertical="top"/>
    </xf>
    <xf numFmtId="2" fontId="0" fillId="4" borderId="32" xfId="17" applyNumberFormat="1" applyBorder="1" applyAlignment="1">
      <alignment horizontal="right" vertical="top"/>
    </xf>
    <xf numFmtId="0" fontId="0" fillId="4" borderId="68" xfId="17" applyBorder="1" applyAlignment="1">
      <alignment horizontal="right" vertical="top"/>
    </xf>
    <xf numFmtId="0" fontId="10" fillId="0" borderId="40" xfId="55" applyFont="1" applyBorder="1" applyAlignment="1">
      <alignment vertical="top"/>
      <protection/>
    </xf>
    <xf numFmtId="0" fontId="9" fillId="0" borderId="40" xfId="55" applyFont="1" applyBorder="1" applyAlignment="1">
      <alignment vertical="top"/>
      <protection/>
    </xf>
    <xf numFmtId="0" fontId="9" fillId="0" borderId="52" xfId="55" applyFont="1" applyBorder="1" applyAlignment="1">
      <alignment vertical="top"/>
      <protection/>
    </xf>
    <xf numFmtId="0" fontId="0" fillId="4" borderId="67" xfId="17" applyBorder="1" applyAlignment="1">
      <alignment horizontal="right" vertical="top"/>
    </xf>
    <xf numFmtId="2" fontId="0" fillId="4" borderId="30" xfId="17" applyNumberFormat="1" applyBorder="1" applyAlignment="1">
      <alignment horizontal="right" vertical="top"/>
    </xf>
    <xf numFmtId="0" fontId="0" fillId="4" borderId="69" xfId="17" applyBorder="1" applyAlignment="1">
      <alignment horizontal="right" vertical="top"/>
    </xf>
    <xf numFmtId="0" fontId="0" fillId="4" borderId="26" xfId="17" applyBorder="1" applyAlignment="1">
      <alignment horizontal="right" vertical="top"/>
    </xf>
    <xf numFmtId="0" fontId="0" fillId="10" borderId="14" xfId="23" applyBorder="1" applyAlignment="1">
      <alignment vertical="top"/>
    </xf>
    <xf numFmtId="0" fontId="49" fillId="10" borderId="70" xfId="23" applyFont="1" applyBorder="1" applyAlignment="1">
      <alignment horizontal="center"/>
    </xf>
    <xf numFmtId="0" fontId="49" fillId="10" borderId="36" xfId="23" applyFont="1" applyBorder="1" applyAlignment="1">
      <alignment/>
    </xf>
    <xf numFmtId="0" fontId="49" fillId="10" borderId="37" xfId="23" applyFont="1" applyBorder="1" applyAlignment="1">
      <alignment/>
    </xf>
    <xf numFmtId="0" fontId="0" fillId="4" borderId="44" xfId="17" applyBorder="1" applyAlignment="1">
      <alignment horizontal="center" vertical="top"/>
    </xf>
    <xf numFmtId="0" fontId="0" fillId="4" borderId="64" xfId="17" applyBorder="1" applyAlignment="1">
      <alignment horizontal="center" vertical="top"/>
    </xf>
    <xf numFmtId="0" fontId="0" fillId="4" borderId="47" xfId="17" applyBorder="1" applyAlignment="1">
      <alignment horizontal="center" vertical="top"/>
    </xf>
    <xf numFmtId="0" fontId="0" fillId="4" borderId="0" xfId="17" applyBorder="1" applyAlignment="1">
      <alignment horizontal="center" vertical="top"/>
    </xf>
    <xf numFmtId="0" fontId="45" fillId="4" borderId="41" xfId="17" applyFont="1" applyBorder="1" applyAlignment="1">
      <alignment horizontal="center" vertical="top"/>
    </xf>
    <xf numFmtId="0" fontId="45" fillId="4" borderId="40" xfId="17" applyFont="1" applyBorder="1" applyAlignment="1">
      <alignment horizontal="center" vertical="top"/>
    </xf>
    <xf numFmtId="0" fontId="9" fillId="0" borderId="0" xfId="55" applyFont="1" applyBorder="1" applyAlignment="1">
      <alignment horizontal="left" vertical="top"/>
      <protection/>
    </xf>
    <xf numFmtId="0" fontId="10" fillId="0" borderId="43" xfId="55" applyFont="1" applyBorder="1" applyAlignment="1">
      <alignment horizontal="center" vertical="top" wrapText="1"/>
      <protection/>
    </xf>
    <xf numFmtId="0" fontId="10" fillId="0" borderId="46" xfId="55" applyFont="1" applyBorder="1" applyAlignment="1">
      <alignment horizontal="center" vertical="top" wrapText="1"/>
      <protection/>
    </xf>
    <xf numFmtId="0" fontId="49" fillId="10" borderId="71" xfId="23" applyFont="1" applyBorder="1" applyAlignment="1">
      <alignment horizontal="center" vertical="top" wrapText="1"/>
    </xf>
    <xf numFmtId="0" fontId="49" fillId="10" borderId="72" xfId="23" applyFont="1" applyBorder="1" applyAlignment="1">
      <alignment horizontal="center" vertical="top" wrapText="1"/>
    </xf>
    <xf numFmtId="0" fontId="49" fillId="10" borderId="73" xfId="23" applyFont="1" applyBorder="1" applyAlignment="1">
      <alignment horizontal="center" vertical="top" wrapText="1"/>
    </xf>
    <xf numFmtId="0" fontId="10" fillId="0" borderId="44" xfId="55" applyFont="1" applyBorder="1" applyAlignment="1">
      <alignment horizontal="right" vertical="top" wrapText="1"/>
      <protection/>
    </xf>
    <xf numFmtId="0" fontId="10" fillId="0" borderId="0" xfId="55" applyFont="1" applyBorder="1" applyAlignment="1">
      <alignment horizontal="right" vertical="top" wrapText="1"/>
      <protection/>
    </xf>
    <xf numFmtId="0" fontId="10" fillId="0" borderId="28" xfId="55" applyFont="1" applyBorder="1" applyAlignment="1">
      <alignment horizontal="right" vertical="top" wrapText="1"/>
      <protection/>
    </xf>
    <xf numFmtId="0" fontId="10" fillId="0" borderId="47" xfId="55" applyFont="1" applyBorder="1" applyAlignment="1">
      <alignment horizontal="center" vertical="top" wrapText="1"/>
      <protection/>
    </xf>
    <xf numFmtId="0" fontId="10" fillId="0" borderId="74" xfId="55" applyFont="1" applyBorder="1" applyAlignment="1">
      <alignment horizontal="center" vertical="top" wrapText="1"/>
      <protection/>
    </xf>
    <xf numFmtId="0" fontId="10" fillId="0" borderId="43" xfId="55" applyFont="1" applyBorder="1" applyAlignment="1">
      <alignment horizontal="center" vertical="top"/>
      <protection/>
    </xf>
    <xf numFmtId="0" fontId="10" fillId="0" borderId="46" xfId="55" applyFont="1" applyBorder="1" applyAlignment="1">
      <alignment horizontal="center" vertical="top"/>
      <protection/>
    </xf>
    <xf numFmtId="0" fontId="10" fillId="0" borderId="42" xfId="55" applyFont="1" applyBorder="1" applyAlignment="1">
      <alignment horizontal="center" vertical="top" wrapText="1"/>
      <protection/>
    </xf>
    <xf numFmtId="0" fontId="10" fillId="0" borderId="45" xfId="55" applyFont="1" applyBorder="1" applyAlignment="1">
      <alignment horizontal="center" vertical="top" wrapText="1"/>
      <protection/>
    </xf>
    <xf numFmtId="0" fontId="49" fillId="10" borderId="75" xfId="23" applyFont="1" applyBorder="1" applyAlignment="1">
      <alignment horizontal="center" vertical="top" wrapText="1"/>
    </xf>
    <xf numFmtId="0" fontId="49" fillId="10" borderId="76" xfId="23" applyFont="1" applyBorder="1" applyAlignment="1">
      <alignment horizontal="center" vertical="top" wrapText="1"/>
    </xf>
    <xf numFmtId="0" fontId="49" fillId="10" borderId="77" xfId="23" applyFont="1" applyBorder="1" applyAlignment="1">
      <alignment horizontal="center" vertical="top" wrapText="1"/>
    </xf>
    <xf numFmtId="0" fontId="45" fillId="10" borderId="44" xfId="23" applyFont="1" applyBorder="1" applyAlignment="1">
      <alignment horizontal="right" vertical="top" wrapText="1"/>
    </xf>
    <xf numFmtId="0" fontId="45" fillId="10" borderId="0" xfId="23" applyFont="1" applyBorder="1" applyAlignment="1">
      <alignment horizontal="right" vertical="top" wrapText="1"/>
    </xf>
    <xf numFmtId="0" fontId="45" fillId="10" borderId="28" xfId="23" applyFont="1" applyBorder="1" applyAlignment="1">
      <alignment horizontal="right" vertical="top" wrapText="1"/>
    </xf>
    <xf numFmtId="0" fontId="10" fillId="0" borderId="78" xfId="55" applyFont="1" applyBorder="1" applyAlignment="1">
      <alignment horizontal="center" vertical="top" wrapText="1"/>
      <protection/>
    </xf>
    <xf numFmtId="0" fontId="10" fillId="0" borderId="79" xfId="55" applyFont="1" applyBorder="1" applyAlignment="1">
      <alignment horizontal="center" vertical="top" wrapText="1"/>
      <protection/>
    </xf>
    <xf numFmtId="0" fontId="11" fillId="0" borderId="78" xfId="55" applyFont="1" applyBorder="1" applyAlignment="1">
      <alignment horizontal="center" vertical="top"/>
      <protection/>
    </xf>
    <xf numFmtId="0" fontId="0" fillId="4" borderId="78" xfId="17" applyBorder="1" applyAlignment="1">
      <alignment horizontal="center" vertical="top"/>
    </xf>
    <xf numFmtId="0" fontId="0" fillId="4" borderId="46" xfId="17" applyBorder="1" applyAlignment="1">
      <alignment horizontal="center" vertical="top"/>
    </xf>
    <xf numFmtId="0" fontId="49" fillId="10" borderId="80" xfId="23" applyFont="1" applyBorder="1" applyAlignment="1">
      <alignment horizontal="center" vertical="top" wrapText="1"/>
    </xf>
    <xf numFmtId="0" fontId="49" fillId="10" borderId="81" xfId="23" applyFont="1" applyBorder="1" applyAlignment="1">
      <alignment horizontal="center" vertical="top" wrapText="1"/>
    </xf>
    <xf numFmtId="0" fontId="10" fillId="0" borderId="0" xfId="55" applyFont="1" applyBorder="1" applyAlignment="1">
      <alignment horizontal="center" vertical="top" wrapText="1"/>
      <protection/>
    </xf>
    <xf numFmtId="0" fontId="10" fillId="0" borderId="0" xfId="55" applyFont="1" applyBorder="1" applyAlignment="1">
      <alignment horizontal="center" vertical="top"/>
      <protection/>
    </xf>
    <xf numFmtId="0" fontId="10" fillId="0" borderId="82" xfId="55" applyFont="1" applyBorder="1" applyAlignment="1">
      <alignment horizontal="center" vertical="top" wrapText="1"/>
      <protection/>
    </xf>
    <xf numFmtId="0" fontId="10" fillId="0" borderId="26" xfId="55" applyFont="1" applyBorder="1" applyAlignment="1">
      <alignment horizontal="center" vertical="top" wrapText="1"/>
      <protection/>
    </xf>
    <xf numFmtId="0" fontId="10" fillId="0" borderId="66" xfId="55" applyFont="1" applyBorder="1" applyAlignment="1">
      <alignment horizontal="center" vertical="top" wrapText="1"/>
      <protection/>
    </xf>
    <xf numFmtId="0" fontId="11" fillId="0" borderId="78" xfId="55" applyFont="1" applyBorder="1" applyAlignment="1">
      <alignment horizontal="center" vertical="top" wrapText="1"/>
      <protection/>
    </xf>
    <xf numFmtId="0" fontId="11" fillId="0" borderId="83" xfId="55" applyFont="1" applyBorder="1" applyAlignment="1">
      <alignment horizontal="center" vertical="top" wrapText="1"/>
      <protection/>
    </xf>
    <xf numFmtId="0" fontId="11" fillId="0" borderId="84" xfId="55" applyFont="1" applyBorder="1" applyAlignment="1">
      <alignment horizontal="center" vertical="top" wrapText="1"/>
      <protection/>
    </xf>
    <xf numFmtId="0" fontId="11" fillId="0" borderId="85" xfId="55" applyFont="1" applyBorder="1" applyAlignment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Central Budget Allocation for Rural Sanitation Programmes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75"/>
          <c:y val="0.2915"/>
          <c:w val="0.884"/>
          <c:h val="0.71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(INDIA!$C$10:$E$10,INDIA!$G$10:$H$10)</c:f>
              <c:numCache/>
            </c:numRef>
          </c:val>
          <c:smooth val="0"/>
        </c:ser>
        <c:marker val="1"/>
        <c:axId val="4565035"/>
        <c:axId val="41085316"/>
      </c:lineChart>
      <c:catAx>
        <c:axId val="4565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085316"/>
        <c:crosses val="autoZero"/>
        <c:auto val="1"/>
        <c:lblOffset val="100"/>
        <c:tickLblSkip val="1"/>
        <c:noMultiLvlLbl val="0"/>
      </c:catAx>
      <c:valAx>
        <c:axId val="4108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lakhs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5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Investment in Rural Sanitation Programmes</a:t>
            </a:r>
          </a:p>
        </c:rich>
      </c:tx>
      <c:layout>
        <c:manualLayout>
          <c:xMode val="factor"/>
          <c:yMode val="factor"/>
          <c:x val="-0.002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"/>
          <c:y val="0.27225"/>
          <c:w val="0.617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INDIA!$B$14</c:f>
              <c:strCache>
                <c:ptCount val="1"/>
                <c:pt idx="0">
                  <c:v>By Centre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(INDIA!$C$15:$E$15,INDIA!$G$15:$H$15)</c:f>
              <c:numCache/>
            </c:numRef>
          </c:val>
          <c:smooth val="0"/>
        </c:ser>
        <c:ser>
          <c:idx val="1"/>
          <c:order val="1"/>
          <c:tx>
            <c:strRef>
              <c:f>INDIA!$B$16</c:f>
              <c:strCache>
                <c:ptCount val="1"/>
                <c:pt idx="0">
                  <c:v>By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"/>
              <c:pt idx="0">
                <c:v>2008</c:v>
              </c:pt>
              <c:pt idx="1">
                <c:v>2009</c:v>
              </c:pt>
              <c:pt idx="2">
                <c:v>2010</c:v>
              </c:pt>
              <c:pt idx="3">
                <c:v>2011</c:v>
              </c:pt>
              <c:pt idx="4">
                <c:v>2012</c:v>
              </c:pt>
            </c:numLit>
          </c:cat>
          <c:val>
            <c:numRef>
              <c:f>(INDIA!$C$17:$E$17,INDIA!$G$17:$H$17)</c:f>
              <c:numCache/>
            </c:numRef>
          </c:val>
          <c:smooth val="0"/>
        </c:ser>
        <c:marker val="1"/>
        <c:axId val="34223525"/>
        <c:axId val="39576270"/>
      </c:lineChart>
      <c:catAx>
        <c:axId val="34223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76270"/>
        <c:crosses val="autoZero"/>
        <c:auto val="1"/>
        <c:lblOffset val="100"/>
        <c:tickLblSkip val="1"/>
        <c:noMultiLvlLbl val="0"/>
      </c:catAx>
      <c:valAx>
        <c:axId val="39576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 crores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2235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25"/>
          <c:y val="0.50275"/>
          <c:w val="0.24725"/>
          <c:h val="0.2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38100</xdr:rowOff>
    </xdr:from>
    <xdr:ext cx="1266825" cy="628650"/>
    <xdr:sp>
      <xdr:nvSpPr>
        <xdr:cNvPr id="1" name="Rectangle 1"/>
        <xdr:cNvSpPr>
          <a:spLocks/>
        </xdr:cNvSpPr>
      </xdr:nvSpPr>
      <xdr:spPr>
        <a:xfrm>
          <a:off x="552450" y="38100"/>
          <a:ext cx="12668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INDIA</a:t>
          </a:r>
        </a:p>
      </xdr:txBody>
    </xdr:sp>
    <xdr:clientData/>
  </xdr:oneCellAnchor>
  <xdr:twoCellAnchor>
    <xdr:from>
      <xdr:col>8</xdr:col>
      <xdr:colOff>152400</xdr:colOff>
      <xdr:row>1</xdr:row>
      <xdr:rowOff>28575</xdr:rowOff>
    </xdr:from>
    <xdr:to>
      <xdr:col>14</xdr:col>
      <xdr:colOff>95250</xdr:colOff>
      <xdr:row>6</xdr:row>
      <xdr:rowOff>190500</xdr:rowOff>
    </xdr:to>
    <xdr:graphicFrame>
      <xdr:nvGraphicFramePr>
        <xdr:cNvPr id="2" name="Chart 2"/>
        <xdr:cNvGraphicFramePr/>
      </xdr:nvGraphicFramePr>
      <xdr:xfrm>
        <a:off x="10972800" y="609600"/>
        <a:ext cx="360045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7</xdr:row>
      <xdr:rowOff>19050</xdr:rowOff>
    </xdr:from>
    <xdr:to>
      <xdr:col>14</xdr:col>
      <xdr:colOff>114300</xdr:colOff>
      <xdr:row>16</xdr:row>
      <xdr:rowOff>85725</xdr:rowOff>
    </xdr:to>
    <xdr:graphicFrame>
      <xdr:nvGraphicFramePr>
        <xdr:cNvPr id="3" name="Chart 3"/>
        <xdr:cNvGraphicFramePr/>
      </xdr:nvGraphicFramePr>
      <xdr:xfrm>
        <a:off x="10972800" y="2324100"/>
        <a:ext cx="3619500" cy="178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66675</xdr:colOff>
      <xdr:row>0</xdr:row>
      <xdr:rowOff>38100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590550" y="3810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0</xdr:row>
      <xdr:rowOff>47625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981075" y="47625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38100</xdr:rowOff>
    </xdr:from>
    <xdr:ext cx="2362200" cy="657225"/>
    <xdr:sp>
      <xdr:nvSpPr>
        <xdr:cNvPr id="1" name="Rectangle 1"/>
        <xdr:cNvSpPr>
          <a:spLocks/>
        </xdr:cNvSpPr>
      </xdr:nvSpPr>
      <xdr:spPr>
        <a:xfrm>
          <a:off x="523875" y="38100"/>
          <a:ext cx="23622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ALL STATES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B1">
      <selection activeCell="J11" sqref="J11"/>
    </sheetView>
  </sheetViews>
  <sheetFormatPr defaultColWidth="9.140625" defaultRowHeight="15"/>
  <cols>
    <col min="1" max="1" width="0" style="0" hidden="1" customWidth="1"/>
    <col min="2" max="2" width="7.8515625" style="0" customWidth="1"/>
    <col min="3" max="3" width="40.8515625" style="0" customWidth="1"/>
    <col min="4" max="6" width="21.140625" style="0" customWidth="1"/>
    <col min="7" max="7" width="7.8515625" style="0" customWidth="1"/>
    <col min="8" max="9" width="21.140625" style="0" customWidth="1"/>
  </cols>
  <sheetData>
    <row r="1" ht="15.75" thickBot="1"/>
    <row r="2" spans="1:9" s="1" customFormat="1" ht="21" customHeight="1">
      <c r="A2" s="18" t="s">
        <v>2</v>
      </c>
      <c r="B2" s="22"/>
      <c r="C2" s="40"/>
      <c r="D2" s="156" t="s">
        <v>18</v>
      </c>
      <c r="E2" s="156"/>
      <c r="F2" s="156"/>
      <c r="G2" s="22"/>
      <c r="H2" s="25"/>
      <c r="I2" s="26"/>
    </row>
    <row r="3" spans="1:9" s="1" customFormat="1" ht="16.5" customHeight="1" thickBot="1">
      <c r="A3" s="19" t="s">
        <v>0</v>
      </c>
      <c r="B3" s="3"/>
      <c r="C3" s="41" t="s">
        <v>0</v>
      </c>
      <c r="D3" s="27"/>
      <c r="E3" s="27"/>
      <c r="F3" s="27"/>
      <c r="G3" s="3"/>
      <c r="H3" s="27"/>
      <c r="I3" s="28"/>
    </row>
    <row r="4" spans="1:9" s="1" customFormat="1" ht="17.25" thickBot="1" thickTop="1">
      <c r="A4" s="2"/>
      <c r="B4" s="20"/>
      <c r="C4" s="3"/>
      <c r="D4" s="3">
        <v>2008</v>
      </c>
      <c r="E4" s="3"/>
      <c r="F4" s="3"/>
      <c r="G4" s="3"/>
      <c r="H4" s="3">
        <v>2009</v>
      </c>
      <c r="I4" s="42">
        <v>2010</v>
      </c>
    </row>
    <row r="5" spans="1:9" ht="15.75" thickBot="1">
      <c r="A5" s="4" t="s">
        <v>1</v>
      </c>
      <c r="B5" s="23"/>
      <c r="C5" s="37" t="s">
        <v>5</v>
      </c>
      <c r="D5" s="5"/>
      <c r="E5" s="5"/>
      <c r="F5" s="5"/>
      <c r="G5" s="8"/>
      <c r="H5" s="5"/>
      <c r="I5" s="6"/>
    </row>
    <row r="6" spans="1:9" ht="15">
      <c r="A6" s="14" t="s">
        <v>8</v>
      </c>
      <c r="B6" s="7"/>
      <c r="C6" s="10" t="s">
        <v>3</v>
      </c>
      <c r="D6" s="29"/>
      <c r="E6" s="30"/>
      <c r="F6" s="29"/>
      <c r="G6" s="7"/>
      <c r="H6" s="36"/>
      <c r="I6" s="35"/>
    </row>
    <row r="7" spans="1:9" ht="15.75" thickBot="1">
      <c r="A7" s="15" t="s">
        <v>9</v>
      </c>
      <c r="B7" s="21"/>
      <c r="C7" s="11" t="s">
        <v>4</v>
      </c>
      <c r="D7" s="31"/>
      <c r="E7" s="32"/>
      <c r="F7" s="31"/>
      <c r="G7" s="7"/>
      <c r="H7" s="34"/>
      <c r="I7" s="33"/>
    </row>
    <row r="8" spans="3:8" ht="15.75" thickBot="1">
      <c r="C8" s="9"/>
      <c r="D8" s="7"/>
      <c r="E8" s="7"/>
      <c r="F8" s="7"/>
      <c r="G8" s="7"/>
      <c r="H8" s="7"/>
    </row>
    <row r="9" spans="1:9" ht="15.75" thickBot="1">
      <c r="A9" s="4" t="s">
        <v>7</v>
      </c>
      <c r="B9" s="24"/>
      <c r="C9" s="38" t="s">
        <v>6</v>
      </c>
      <c r="D9" s="16"/>
      <c r="E9" s="16"/>
      <c r="F9" s="16"/>
      <c r="G9" s="7"/>
      <c r="H9" s="5"/>
      <c r="I9" s="6"/>
    </row>
    <row r="10" spans="1:10" ht="15">
      <c r="A10" s="14" t="s">
        <v>8</v>
      </c>
      <c r="B10" s="21"/>
      <c r="C10" s="12" t="s">
        <v>3</v>
      </c>
      <c r="D10" s="29"/>
      <c r="E10" s="30"/>
      <c r="F10" s="29"/>
      <c r="G10" s="7"/>
      <c r="H10" s="36"/>
      <c r="I10" s="35"/>
      <c r="J10" s="8"/>
    </row>
    <row r="11" spans="1:9" ht="15.75" thickBot="1">
      <c r="A11" s="15" t="s">
        <v>9</v>
      </c>
      <c r="B11" s="14"/>
      <c r="C11" s="13" t="s">
        <v>4</v>
      </c>
      <c r="D11" s="33"/>
      <c r="E11" s="34"/>
      <c r="F11" s="33"/>
      <c r="G11" s="8"/>
      <c r="H11" s="34"/>
      <c r="I11" s="33"/>
    </row>
    <row r="12" ht="15">
      <c r="G12" s="8"/>
    </row>
    <row r="13" spans="1:9" s="1" customFormat="1" ht="16.5" customHeight="1" thickBot="1">
      <c r="A13" s="19" t="s">
        <v>14</v>
      </c>
      <c r="B13" s="3"/>
      <c r="C13" s="41" t="s">
        <v>17</v>
      </c>
      <c r="D13" s="27"/>
      <c r="E13" s="27"/>
      <c r="F13" s="27"/>
      <c r="G13" s="3"/>
      <c r="H13" s="27"/>
      <c r="I13" s="28"/>
    </row>
    <row r="14" spans="1:9" s="1" customFormat="1" ht="17.25" thickBot="1" thickTop="1">
      <c r="A14" s="2"/>
      <c r="B14" s="20"/>
      <c r="C14" s="3"/>
      <c r="D14" s="3">
        <v>2008</v>
      </c>
      <c r="E14" s="3"/>
      <c r="F14" s="3"/>
      <c r="G14" s="3"/>
      <c r="H14" s="3">
        <v>2009</v>
      </c>
      <c r="I14" s="42">
        <v>2010</v>
      </c>
    </row>
    <row r="15" spans="1:9" ht="30.75" thickBot="1">
      <c r="A15" s="4" t="s">
        <v>1</v>
      </c>
      <c r="B15" s="23"/>
      <c r="C15" s="39" t="s">
        <v>15</v>
      </c>
      <c r="D15" s="5"/>
      <c r="E15" s="5"/>
      <c r="F15" s="5"/>
      <c r="G15" s="8"/>
      <c r="H15" s="5"/>
      <c r="I15" s="6"/>
    </row>
    <row r="16" spans="1:9" ht="15">
      <c r="A16" s="17" t="s">
        <v>8</v>
      </c>
      <c r="B16" s="7"/>
      <c r="C16" s="10" t="s">
        <v>10</v>
      </c>
      <c r="D16" s="35"/>
      <c r="E16" s="36"/>
      <c r="F16" s="35"/>
      <c r="G16" s="8"/>
      <c r="H16" s="36"/>
      <c r="I16" s="35"/>
    </row>
    <row r="17" spans="1:9" ht="15.75" thickBot="1">
      <c r="A17" s="15" t="s">
        <v>9</v>
      </c>
      <c r="B17" s="7"/>
      <c r="C17" s="11" t="s">
        <v>11</v>
      </c>
      <c r="D17" s="31"/>
      <c r="E17" s="32"/>
      <c r="F17" s="31"/>
      <c r="G17" s="7"/>
      <c r="H17" s="34"/>
      <c r="I17" s="33"/>
    </row>
    <row r="18" spans="2:9" ht="15.75" thickBot="1">
      <c r="B18" s="8"/>
      <c r="C18" s="7"/>
      <c r="D18" s="7"/>
      <c r="E18" s="7"/>
      <c r="F18" s="7"/>
      <c r="G18" s="7"/>
      <c r="I18" s="8"/>
    </row>
    <row r="19" spans="1:9" ht="30.75" thickBot="1">
      <c r="A19" s="4" t="s">
        <v>7</v>
      </c>
      <c r="B19" s="8"/>
      <c r="C19" s="39" t="s">
        <v>16</v>
      </c>
      <c r="D19" s="16"/>
      <c r="E19" s="16"/>
      <c r="F19" s="16"/>
      <c r="G19" s="7"/>
      <c r="H19" s="5"/>
      <c r="I19" s="6"/>
    </row>
    <row r="20" spans="1:9" ht="15">
      <c r="A20" s="17" t="s">
        <v>8</v>
      </c>
      <c r="B20" s="21"/>
      <c r="C20" s="10" t="s">
        <v>12</v>
      </c>
      <c r="D20" s="29"/>
      <c r="E20" s="30"/>
      <c r="F20" s="29"/>
      <c r="G20" s="7"/>
      <c r="H20" s="36"/>
      <c r="I20" s="35"/>
    </row>
    <row r="21" spans="1:9" ht="15.75" thickBot="1">
      <c r="A21" s="15" t="s">
        <v>9</v>
      </c>
      <c r="B21" s="21"/>
      <c r="C21" s="11" t="s">
        <v>13</v>
      </c>
      <c r="D21" s="33"/>
      <c r="E21" s="34"/>
      <c r="F21" s="33"/>
      <c r="G21" s="8"/>
      <c r="H21" s="34"/>
      <c r="I21" s="33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showGridLines="0" tabSelected="1" zoomScalePageLayoutView="0" workbookViewId="0" topLeftCell="A1">
      <selection activeCell="F1" sqref="F1"/>
    </sheetView>
  </sheetViews>
  <sheetFormatPr defaultColWidth="9.140625" defaultRowHeight="15"/>
  <cols>
    <col min="1" max="1" width="7.8515625" style="0" customWidth="1"/>
    <col min="2" max="2" width="40.8515625" style="0" customWidth="1"/>
    <col min="3" max="5" width="21.140625" style="0" customWidth="1"/>
    <col min="6" max="6" width="7.8515625" style="0" customWidth="1"/>
    <col min="7" max="8" width="21.140625" style="0" customWidth="1"/>
  </cols>
  <sheetData>
    <row r="1" ht="45.75" customHeight="1" thickBot="1"/>
    <row r="2" spans="1:8" ht="21" customHeight="1" thickBot="1">
      <c r="A2" s="47"/>
      <c r="B2" s="56"/>
      <c r="C2" s="157" t="s">
        <v>89</v>
      </c>
      <c r="D2" s="157"/>
      <c r="E2" s="158"/>
      <c r="F2" s="47"/>
      <c r="G2" s="56"/>
      <c r="H2" s="57"/>
    </row>
    <row r="3" spans="1:8" ht="16.5" customHeight="1" thickBot="1">
      <c r="A3" s="47"/>
      <c r="B3" s="55" t="s">
        <v>0</v>
      </c>
      <c r="C3" s="44"/>
      <c r="D3" s="44"/>
      <c r="E3" s="44"/>
      <c r="F3" s="47"/>
      <c r="G3" s="44"/>
      <c r="H3" s="45"/>
    </row>
    <row r="4" spans="1:8" ht="21" customHeight="1" thickBot="1">
      <c r="A4" s="47"/>
      <c r="B4" s="121"/>
      <c r="C4" s="58" t="s">
        <v>27</v>
      </c>
      <c r="D4" s="119" t="s">
        <v>28</v>
      </c>
      <c r="E4" s="59" t="s">
        <v>29</v>
      </c>
      <c r="F4" s="47"/>
      <c r="G4" s="120" t="s">
        <v>30</v>
      </c>
      <c r="H4" s="59" t="s">
        <v>31</v>
      </c>
    </row>
    <row r="5" spans="1:8" ht="30">
      <c r="A5" s="47"/>
      <c r="B5" s="112" t="s">
        <v>19</v>
      </c>
      <c r="C5" s="43">
        <v>115.28</v>
      </c>
      <c r="D5" s="50">
        <v>112.65</v>
      </c>
      <c r="E5" s="43">
        <v>124.07</v>
      </c>
      <c r="F5" s="47"/>
      <c r="G5" s="52">
        <v>122.43</v>
      </c>
      <c r="H5" s="46">
        <v>87.98</v>
      </c>
    </row>
    <row r="6" spans="1:8" ht="30.75" thickBot="1">
      <c r="A6" s="47"/>
      <c r="B6" s="113" t="s">
        <v>20</v>
      </c>
      <c r="C6" s="43">
        <v>726.58</v>
      </c>
      <c r="D6" s="50">
        <v>839.24</v>
      </c>
      <c r="E6" s="43">
        <v>963.32</v>
      </c>
      <c r="F6" s="47"/>
      <c r="G6" s="52">
        <v>1085.76</v>
      </c>
      <c r="H6" s="46">
        <v>1173.74</v>
      </c>
    </row>
    <row r="7" spans="1:8" ht="16.5" customHeight="1" thickBot="1">
      <c r="A7" s="47"/>
      <c r="B7" s="55" t="s">
        <v>17</v>
      </c>
      <c r="C7" s="44"/>
      <c r="D7" s="44"/>
      <c r="E7" s="44"/>
      <c r="F7" s="47"/>
      <c r="G7" s="44"/>
      <c r="H7" s="45"/>
    </row>
    <row r="8" spans="1:8" ht="15">
      <c r="A8" s="47"/>
      <c r="B8" s="114"/>
      <c r="C8" s="43"/>
      <c r="D8" s="35"/>
      <c r="E8" s="43"/>
      <c r="F8" s="47"/>
      <c r="G8" s="54"/>
      <c r="H8" s="46"/>
    </row>
    <row r="9" spans="1:8" ht="15">
      <c r="A9" s="47"/>
      <c r="B9" s="115" t="s">
        <v>21</v>
      </c>
      <c r="C9" s="43"/>
      <c r="D9" s="50"/>
      <c r="E9" s="43"/>
      <c r="F9" s="47"/>
      <c r="G9" s="52"/>
      <c r="H9" s="46"/>
    </row>
    <row r="10" spans="1:8" ht="15">
      <c r="A10" s="47"/>
      <c r="B10" s="116" t="s">
        <v>22</v>
      </c>
      <c r="C10" s="43">
        <v>1060</v>
      </c>
      <c r="D10" s="50">
        <v>1200</v>
      </c>
      <c r="E10" s="43">
        <v>1200</v>
      </c>
      <c r="F10" s="47"/>
      <c r="G10" s="52">
        <v>1580</v>
      </c>
      <c r="H10" s="46">
        <v>1500</v>
      </c>
    </row>
    <row r="11" spans="1:8" ht="15">
      <c r="A11" s="47"/>
      <c r="B11" s="115" t="s">
        <v>23</v>
      </c>
      <c r="C11" s="43"/>
      <c r="D11" s="50"/>
      <c r="E11" s="43"/>
      <c r="F11" s="47"/>
      <c r="G11" s="52"/>
      <c r="H11" s="46"/>
    </row>
    <row r="12" spans="1:8" ht="15">
      <c r="A12" s="47"/>
      <c r="B12" s="116" t="s">
        <v>22</v>
      </c>
      <c r="C12" s="43">
        <v>1060</v>
      </c>
      <c r="D12" s="50">
        <v>1192.81</v>
      </c>
      <c r="E12" s="43">
        <v>1200</v>
      </c>
      <c r="F12" s="47"/>
      <c r="G12" s="52">
        <v>1580</v>
      </c>
      <c r="H12" s="46">
        <v>1500</v>
      </c>
    </row>
    <row r="13" spans="1:8" ht="15">
      <c r="A13" s="47"/>
      <c r="B13" s="115" t="s">
        <v>24</v>
      </c>
      <c r="C13" s="43"/>
      <c r="D13" s="50"/>
      <c r="E13" s="43"/>
      <c r="F13" s="47"/>
      <c r="G13" s="52"/>
      <c r="H13" s="46"/>
    </row>
    <row r="14" spans="1:8" ht="15">
      <c r="A14" s="47"/>
      <c r="B14" s="117" t="s">
        <v>25</v>
      </c>
      <c r="C14" s="43"/>
      <c r="D14" s="50"/>
      <c r="E14" s="43"/>
      <c r="F14" s="47"/>
      <c r="G14" s="52"/>
      <c r="H14" s="46"/>
    </row>
    <row r="15" spans="1:8" ht="15">
      <c r="A15" s="47"/>
      <c r="B15" s="116" t="s">
        <v>22</v>
      </c>
      <c r="C15" s="43">
        <v>908.13</v>
      </c>
      <c r="D15" s="50">
        <v>980.13</v>
      </c>
      <c r="E15" s="43">
        <v>1038.85</v>
      </c>
      <c r="F15" s="47"/>
      <c r="G15" s="52">
        <v>1532.7</v>
      </c>
      <c r="H15" s="46">
        <v>1440.59</v>
      </c>
    </row>
    <row r="16" spans="1:8" ht="15">
      <c r="A16" s="47"/>
      <c r="B16" s="117" t="s">
        <v>26</v>
      </c>
      <c r="C16" s="43"/>
      <c r="D16" s="50"/>
      <c r="E16" s="43"/>
      <c r="F16" s="47"/>
      <c r="G16" s="52"/>
      <c r="H16" s="46"/>
    </row>
    <row r="17" spans="1:8" ht="15.75" thickBot="1">
      <c r="A17" s="47"/>
      <c r="B17" s="118" t="s">
        <v>22</v>
      </c>
      <c r="C17" s="48">
        <v>389.92</v>
      </c>
      <c r="D17" s="51">
        <v>748.72</v>
      </c>
      <c r="E17" s="48">
        <v>796.06</v>
      </c>
      <c r="F17" s="47"/>
      <c r="G17" s="53">
        <v>453.73</v>
      </c>
      <c r="H17" s="49">
        <v>475.72</v>
      </c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scale="79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80"/>
  <sheetViews>
    <sheetView showGridLines="0" zoomScalePageLayoutView="0" workbookViewId="0" topLeftCell="A1">
      <selection activeCell="P9" sqref="P9"/>
    </sheetView>
  </sheetViews>
  <sheetFormatPr defaultColWidth="9.140625" defaultRowHeight="15"/>
  <cols>
    <col min="1" max="1" width="7.8515625" style="60" customWidth="1"/>
    <col min="2" max="2" width="4.140625" style="60" hidden="1" customWidth="1"/>
    <col min="3" max="3" width="19.421875" style="60" customWidth="1"/>
    <col min="4" max="4" width="8.421875" style="60" hidden="1" customWidth="1"/>
    <col min="5" max="5" width="9.00390625" style="60" hidden="1" customWidth="1"/>
    <col min="6" max="6" width="8.8515625" style="60" hidden="1" customWidth="1"/>
    <col min="7" max="7" width="8.00390625" style="60" hidden="1" customWidth="1"/>
    <col min="8" max="8" width="8.28125" style="60" hidden="1" customWidth="1"/>
    <col min="9" max="9" width="15.421875" style="60" customWidth="1"/>
    <col min="10" max="10" width="17.57421875" style="60" customWidth="1"/>
    <col min="11" max="11" width="15.140625" style="60" customWidth="1"/>
    <col min="12" max="12" width="14.28125" style="60" customWidth="1"/>
    <col min="13" max="13" width="17.57421875" style="60" customWidth="1"/>
    <col min="14" max="14" width="6.7109375" style="60" hidden="1" customWidth="1"/>
    <col min="15" max="16384" width="9.140625" style="60" customWidth="1"/>
  </cols>
  <sheetData>
    <row r="1" ht="45.75" customHeight="1" thickBot="1"/>
    <row r="2" spans="1:15" ht="39" customHeight="1" thickBot="1">
      <c r="A2" s="64"/>
      <c r="B2" s="168" t="s">
        <v>90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0"/>
      <c r="O2" s="132"/>
    </row>
    <row r="3" spans="1:15" ht="15.75" customHeight="1">
      <c r="A3" s="64"/>
      <c r="B3" s="171" t="s">
        <v>75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3"/>
      <c r="O3" s="132"/>
    </row>
    <row r="4" spans="1:15" ht="12" customHeight="1">
      <c r="A4" s="64"/>
      <c r="B4" s="174" t="s">
        <v>74</v>
      </c>
      <c r="C4" s="176" t="s">
        <v>73</v>
      </c>
      <c r="D4" s="166">
        <v>2003</v>
      </c>
      <c r="E4" s="166">
        <v>2004</v>
      </c>
      <c r="F4" s="166">
        <v>2005</v>
      </c>
      <c r="G4" s="166">
        <v>2006</v>
      </c>
      <c r="H4" s="166">
        <v>2007</v>
      </c>
      <c r="I4" s="166" t="s">
        <v>27</v>
      </c>
      <c r="J4" s="166" t="s">
        <v>28</v>
      </c>
      <c r="K4" s="166" t="s">
        <v>29</v>
      </c>
      <c r="L4" s="166" t="s">
        <v>30</v>
      </c>
      <c r="M4" s="166" t="s">
        <v>31</v>
      </c>
      <c r="N4" s="178" t="s">
        <v>72</v>
      </c>
      <c r="O4" s="132"/>
    </row>
    <row r="5" spans="1:15" ht="15" customHeight="1">
      <c r="A5" s="64"/>
      <c r="B5" s="175"/>
      <c r="C5" s="17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79"/>
      <c r="O5" s="132"/>
    </row>
    <row r="6" spans="1:14" ht="16.5" customHeight="1" thickBot="1">
      <c r="A6" s="64"/>
      <c r="B6" s="77"/>
      <c r="C6" s="124" t="s">
        <v>71</v>
      </c>
      <c r="D6" s="107"/>
      <c r="E6" s="107"/>
      <c r="F6" s="107"/>
      <c r="G6" s="107"/>
      <c r="H6" s="107"/>
      <c r="I6" s="131"/>
      <c r="J6" s="130"/>
      <c r="K6" s="131"/>
      <c r="L6" s="130"/>
      <c r="M6" s="130"/>
      <c r="N6" s="122"/>
    </row>
    <row r="7" spans="1:14" ht="16.5" thickBot="1">
      <c r="A7" s="64"/>
      <c r="B7" s="109">
        <v>1</v>
      </c>
      <c r="C7" s="125"/>
      <c r="D7" s="68">
        <v>23.79206</v>
      </c>
      <c r="E7" s="68">
        <v>45.82415</v>
      </c>
      <c r="F7" s="68">
        <v>49.53773</v>
      </c>
      <c r="G7" s="68">
        <v>59.03352</v>
      </c>
      <c r="H7" s="68">
        <v>72.87135</v>
      </c>
      <c r="I7" s="68">
        <v>76.76377</v>
      </c>
      <c r="J7" s="101">
        <v>79.69074</v>
      </c>
      <c r="K7" s="68">
        <v>85.75</v>
      </c>
      <c r="L7" s="101">
        <v>96.25</v>
      </c>
      <c r="M7" s="101">
        <v>102.79</v>
      </c>
      <c r="N7" s="67">
        <f aca="true" t="shared" si="0" ref="N7:N61">(((M7/G7)^(1/6))-1)*100</f>
        <v>9.68368454684365</v>
      </c>
    </row>
    <row r="8" spans="1:14" ht="16.5" thickBot="1">
      <c r="A8" s="64"/>
      <c r="B8" s="109"/>
      <c r="C8" s="126" t="s">
        <v>70</v>
      </c>
      <c r="D8" s="68"/>
      <c r="E8" s="68"/>
      <c r="F8" s="68"/>
      <c r="G8" s="68"/>
      <c r="H8" s="68"/>
      <c r="I8" s="68"/>
      <c r="J8" s="101"/>
      <c r="K8" s="68"/>
      <c r="L8" s="101"/>
      <c r="M8" s="101"/>
      <c r="N8" s="67"/>
    </row>
    <row r="9" spans="1:14" ht="16.5" thickBot="1">
      <c r="A9" s="64"/>
      <c r="B9" s="109">
        <v>2</v>
      </c>
      <c r="C9" s="125"/>
      <c r="D9" s="68">
        <v>0.77977</v>
      </c>
      <c r="E9" s="68">
        <v>0.8226</v>
      </c>
      <c r="F9" s="68">
        <v>0.84461</v>
      </c>
      <c r="G9" s="68">
        <v>0.87534</v>
      </c>
      <c r="H9" s="68">
        <v>0.89278</v>
      </c>
      <c r="I9" s="68">
        <v>0.94714</v>
      </c>
      <c r="J9" s="101">
        <v>0.98113</v>
      </c>
      <c r="K9" s="68">
        <v>1.15</v>
      </c>
      <c r="L9" s="101">
        <v>1.35</v>
      </c>
      <c r="M9" s="101">
        <v>1.62</v>
      </c>
      <c r="N9" s="67">
        <f t="shared" si="0"/>
        <v>10.804238475868178</v>
      </c>
    </row>
    <row r="10" spans="1:14" ht="16.5" thickBot="1">
      <c r="A10" s="64"/>
      <c r="B10" s="109"/>
      <c r="C10" s="126" t="s">
        <v>69</v>
      </c>
      <c r="D10" s="68"/>
      <c r="E10" s="68"/>
      <c r="F10" s="68"/>
      <c r="G10" s="68"/>
      <c r="H10" s="68"/>
      <c r="I10" s="68"/>
      <c r="J10" s="101"/>
      <c r="K10" s="68"/>
      <c r="L10" s="101"/>
      <c r="M10" s="101"/>
      <c r="N10" s="67"/>
    </row>
    <row r="11" spans="1:14" ht="16.5" thickBot="1">
      <c r="A11" s="64"/>
      <c r="B11" s="109">
        <v>3</v>
      </c>
      <c r="C11" s="125"/>
      <c r="D11" s="68">
        <v>25.13804</v>
      </c>
      <c r="E11" s="68">
        <v>25.24112</v>
      </c>
      <c r="F11" s="68">
        <v>25.53287</v>
      </c>
      <c r="G11" s="68">
        <v>25.7883</v>
      </c>
      <c r="H11" s="68">
        <v>26.38465</v>
      </c>
      <c r="I11" s="68">
        <v>27.26019</v>
      </c>
      <c r="J11" s="101">
        <v>29.32275</v>
      </c>
      <c r="K11" s="68">
        <v>34.22</v>
      </c>
      <c r="L11" s="101">
        <v>39.2</v>
      </c>
      <c r="M11" s="101">
        <v>44.31</v>
      </c>
      <c r="N11" s="67">
        <f t="shared" si="0"/>
        <v>9.440946244145287</v>
      </c>
    </row>
    <row r="12" spans="1:14" ht="16.5" thickBot="1">
      <c r="A12" s="64"/>
      <c r="B12" s="109"/>
      <c r="C12" s="126" t="s">
        <v>68</v>
      </c>
      <c r="D12" s="68"/>
      <c r="E12" s="68"/>
      <c r="F12" s="68"/>
      <c r="G12" s="68"/>
      <c r="H12" s="68"/>
      <c r="I12" s="68"/>
      <c r="J12" s="101"/>
      <c r="K12" s="68"/>
      <c r="L12" s="101"/>
      <c r="M12" s="101"/>
      <c r="N12" s="67"/>
    </row>
    <row r="13" spans="1:14" ht="16.5" thickBot="1">
      <c r="A13" s="64"/>
      <c r="B13" s="109">
        <v>4</v>
      </c>
      <c r="C13" s="125"/>
      <c r="D13" s="68">
        <v>17.61591</v>
      </c>
      <c r="E13" s="68">
        <v>17.94564</v>
      </c>
      <c r="F13" s="68">
        <v>18.49652</v>
      </c>
      <c r="G13" s="68">
        <v>19.08235</v>
      </c>
      <c r="H13" s="68">
        <v>20.76801</v>
      </c>
      <c r="I13" s="68">
        <v>25.89851</v>
      </c>
      <c r="J13" s="101">
        <v>33.46316</v>
      </c>
      <c r="K13" s="68">
        <v>39.87</v>
      </c>
      <c r="L13" s="101">
        <v>47.04</v>
      </c>
      <c r="M13" s="101">
        <v>55.44</v>
      </c>
      <c r="N13" s="67">
        <f t="shared" si="0"/>
        <v>19.453412419196027</v>
      </c>
    </row>
    <row r="14" spans="1:14" ht="16.5" thickBot="1">
      <c r="A14" s="64"/>
      <c r="B14" s="109"/>
      <c r="C14" s="126" t="s">
        <v>67</v>
      </c>
      <c r="D14" s="68"/>
      <c r="E14" s="68"/>
      <c r="F14" s="68"/>
      <c r="G14" s="68"/>
      <c r="H14" s="68"/>
      <c r="I14" s="68"/>
      <c r="J14" s="101"/>
      <c r="K14" s="68"/>
      <c r="L14" s="101"/>
      <c r="M14" s="101"/>
      <c r="N14" s="67"/>
    </row>
    <row r="15" spans="1:14" ht="16.5" thickBot="1">
      <c r="A15" s="64"/>
      <c r="B15" s="109">
        <v>5</v>
      </c>
      <c r="C15" s="125"/>
      <c r="D15" s="68">
        <v>1.73994</v>
      </c>
      <c r="E15" s="68">
        <v>1.74886</v>
      </c>
      <c r="F15" s="68">
        <v>1.7924</v>
      </c>
      <c r="G15" s="68">
        <v>2.03072</v>
      </c>
      <c r="H15" s="68">
        <v>4.92025</v>
      </c>
      <c r="I15" s="68">
        <v>9.98747</v>
      </c>
      <c r="J15" s="101">
        <v>13.04203</v>
      </c>
      <c r="K15" s="68">
        <v>17.65</v>
      </c>
      <c r="L15" s="101">
        <v>20.01</v>
      </c>
      <c r="M15" s="101">
        <v>20.83</v>
      </c>
      <c r="N15" s="67">
        <f t="shared" si="0"/>
        <v>47.40307289696253</v>
      </c>
    </row>
    <row r="16" spans="1:14" ht="16.5" thickBot="1">
      <c r="A16" s="64"/>
      <c r="B16" s="109"/>
      <c r="C16" s="126" t="s">
        <v>66</v>
      </c>
      <c r="D16" s="68"/>
      <c r="E16" s="68"/>
      <c r="F16" s="68"/>
      <c r="G16" s="68"/>
      <c r="H16" s="68"/>
      <c r="I16" s="68"/>
      <c r="J16" s="101"/>
      <c r="K16" s="68"/>
      <c r="L16" s="101"/>
      <c r="M16" s="101"/>
      <c r="N16" s="67"/>
    </row>
    <row r="17" spans="1:14" ht="16.5" thickBot="1">
      <c r="A17" s="64"/>
      <c r="B17" s="109">
        <v>6</v>
      </c>
      <c r="C17" s="125"/>
      <c r="D17" s="68">
        <v>0.67863</v>
      </c>
      <c r="E17" s="68">
        <v>0.67863</v>
      </c>
      <c r="F17" s="68">
        <v>0.67863</v>
      </c>
      <c r="G17" s="68">
        <v>0.67863</v>
      </c>
      <c r="H17" s="68">
        <v>0.82553</v>
      </c>
      <c r="I17" s="68">
        <v>0.82863</v>
      </c>
      <c r="J17" s="101">
        <v>1.01616</v>
      </c>
      <c r="K17" s="68">
        <v>1.02</v>
      </c>
      <c r="L17" s="101">
        <v>1.02</v>
      </c>
      <c r="M17" s="101">
        <v>1.02</v>
      </c>
      <c r="N17" s="67">
        <f t="shared" si="0"/>
        <v>7.027287683520433</v>
      </c>
    </row>
    <row r="18" spans="1:14" ht="16.5" thickBot="1">
      <c r="A18" s="64"/>
      <c r="B18" s="109"/>
      <c r="C18" s="126" t="s">
        <v>65</v>
      </c>
      <c r="D18" s="68"/>
      <c r="E18" s="68"/>
      <c r="F18" s="68"/>
      <c r="G18" s="68"/>
      <c r="H18" s="68"/>
      <c r="I18" s="68"/>
      <c r="J18" s="101"/>
      <c r="K18" s="68"/>
      <c r="L18" s="101"/>
      <c r="M18" s="101"/>
      <c r="N18" s="67"/>
    </row>
    <row r="19" spans="1:14" ht="16.5" thickBot="1">
      <c r="A19" s="64"/>
      <c r="B19" s="109">
        <v>7</v>
      </c>
      <c r="C19" s="125"/>
      <c r="D19" s="68">
        <v>12.76832</v>
      </c>
      <c r="E19" s="68">
        <v>12.76839</v>
      </c>
      <c r="F19" s="68">
        <v>13.13783</v>
      </c>
      <c r="G19" s="68">
        <v>16.61472</v>
      </c>
      <c r="H19" s="68">
        <v>24.23853</v>
      </c>
      <c r="I19" s="68">
        <v>32.7175</v>
      </c>
      <c r="J19" s="101">
        <v>42.5595</v>
      </c>
      <c r="K19" s="68">
        <v>48.63</v>
      </c>
      <c r="L19" s="101">
        <v>53.78</v>
      </c>
      <c r="M19" s="101">
        <v>57</v>
      </c>
      <c r="N19" s="67">
        <f t="shared" si="0"/>
        <v>22.80903104534133</v>
      </c>
    </row>
    <row r="20" spans="1:14" ht="16.5" thickBot="1">
      <c r="A20" s="64"/>
      <c r="B20" s="109"/>
      <c r="C20" s="126" t="s">
        <v>64</v>
      </c>
      <c r="D20" s="68"/>
      <c r="E20" s="68"/>
      <c r="F20" s="68"/>
      <c r="G20" s="68"/>
      <c r="H20" s="68"/>
      <c r="I20" s="68"/>
      <c r="J20" s="101"/>
      <c r="K20" s="68"/>
      <c r="L20" s="101"/>
      <c r="M20" s="101"/>
      <c r="N20" s="67"/>
    </row>
    <row r="21" spans="1:14" ht="16.5" thickBot="1">
      <c r="A21" s="64"/>
      <c r="B21" s="109">
        <v>8</v>
      </c>
      <c r="C21" s="125"/>
      <c r="D21" s="68">
        <v>7.03612</v>
      </c>
      <c r="E21" s="68">
        <v>7.44568</v>
      </c>
      <c r="F21" s="68">
        <v>8.01457</v>
      </c>
      <c r="G21" s="68">
        <v>9.4362</v>
      </c>
      <c r="H21" s="68">
        <v>12.70023</v>
      </c>
      <c r="I21" s="68">
        <v>19.28625</v>
      </c>
      <c r="J21" s="101">
        <v>22.95722</v>
      </c>
      <c r="K21" s="68">
        <v>24.87</v>
      </c>
      <c r="L21" s="101">
        <v>26.19</v>
      </c>
      <c r="M21" s="101">
        <v>27.23</v>
      </c>
      <c r="N21" s="67">
        <f t="shared" si="0"/>
        <v>19.318673725645176</v>
      </c>
    </row>
    <row r="22" spans="1:14" ht="16.5" thickBot="1">
      <c r="A22" s="64"/>
      <c r="B22" s="109"/>
      <c r="C22" s="126" t="s">
        <v>63</v>
      </c>
      <c r="D22" s="68"/>
      <c r="E22" s="68"/>
      <c r="F22" s="68"/>
      <c r="G22" s="68"/>
      <c r="H22" s="68"/>
      <c r="I22" s="68"/>
      <c r="J22" s="101"/>
      <c r="K22" s="68"/>
      <c r="L22" s="101"/>
      <c r="M22" s="101"/>
      <c r="N22" s="67"/>
    </row>
    <row r="23" spans="1:14" ht="16.5" thickBot="1">
      <c r="A23" s="64"/>
      <c r="B23" s="109">
        <v>9</v>
      </c>
      <c r="C23" s="125"/>
      <c r="D23" s="68">
        <v>3.04235</v>
      </c>
      <c r="E23" s="68">
        <v>3.04276</v>
      </c>
      <c r="F23" s="68">
        <v>3.04572</v>
      </c>
      <c r="G23" s="68">
        <v>3.09453</v>
      </c>
      <c r="H23" s="68">
        <v>3.93429</v>
      </c>
      <c r="I23" s="68">
        <v>5.29472</v>
      </c>
      <c r="J23" s="101">
        <v>8.43344</v>
      </c>
      <c r="K23" s="68">
        <v>10.83</v>
      </c>
      <c r="L23" s="101">
        <v>12.99</v>
      </c>
      <c r="M23" s="101">
        <v>13.3</v>
      </c>
      <c r="N23" s="67">
        <f t="shared" si="0"/>
        <v>27.50958255448783</v>
      </c>
    </row>
    <row r="24" spans="1:14" ht="16.5" thickBot="1">
      <c r="A24" s="64"/>
      <c r="B24" s="109"/>
      <c r="C24" s="126" t="s">
        <v>62</v>
      </c>
      <c r="D24" s="68"/>
      <c r="E24" s="68"/>
      <c r="F24" s="68"/>
      <c r="G24" s="68"/>
      <c r="H24" s="68"/>
      <c r="I24" s="68"/>
      <c r="J24" s="101"/>
      <c r="K24" s="68"/>
      <c r="L24" s="101"/>
      <c r="M24" s="101"/>
      <c r="N24" s="67"/>
    </row>
    <row r="25" spans="1:14" ht="16.5" thickBot="1">
      <c r="A25" s="64"/>
      <c r="B25" s="109">
        <v>10</v>
      </c>
      <c r="C25" s="125"/>
      <c r="D25" s="68">
        <v>4.85434</v>
      </c>
      <c r="E25" s="68">
        <v>4.86057</v>
      </c>
      <c r="F25" s="68">
        <v>4.87685</v>
      </c>
      <c r="G25" s="68">
        <v>4.87685</v>
      </c>
      <c r="H25" s="68">
        <v>5.80052</v>
      </c>
      <c r="I25" s="68">
        <v>6.19611</v>
      </c>
      <c r="J25" s="101">
        <v>7.59026</v>
      </c>
      <c r="K25" s="68">
        <v>7.14</v>
      </c>
      <c r="L25" s="101">
        <v>8.4</v>
      </c>
      <c r="M25" s="101">
        <v>9.1</v>
      </c>
      <c r="N25" s="67">
        <f t="shared" si="0"/>
        <v>10.955882605440648</v>
      </c>
    </row>
    <row r="26" spans="1:14" ht="16.5" thickBot="1">
      <c r="A26" s="64"/>
      <c r="B26" s="109"/>
      <c r="C26" s="126" t="s">
        <v>61</v>
      </c>
      <c r="D26" s="68"/>
      <c r="E26" s="68"/>
      <c r="F26" s="68"/>
      <c r="G26" s="68"/>
      <c r="H26" s="68"/>
      <c r="I26" s="68"/>
      <c r="J26" s="101"/>
      <c r="K26" s="68"/>
      <c r="L26" s="101"/>
      <c r="M26" s="101"/>
      <c r="N26" s="67"/>
    </row>
    <row r="27" spans="1:14" ht="16.5" thickBot="1">
      <c r="A27" s="64"/>
      <c r="B27" s="109">
        <v>11</v>
      </c>
      <c r="C27" s="125"/>
      <c r="D27" s="68">
        <v>2.49805</v>
      </c>
      <c r="E27" s="68">
        <v>2.58775</v>
      </c>
      <c r="F27" s="68">
        <v>2.75658</v>
      </c>
      <c r="G27" s="68">
        <v>3.39401</v>
      </c>
      <c r="H27" s="68">
        <v>4.73374</v>
      </c>
      <c r="I27" s="68">
        <v>7.91601</v>
      </c>
      <c r="J27" s="101">
        <v>11.54174</v>
      </c>
      <c r="K27" s="68">
        <v>14.9</v>
      </c>
      <c r="L27" s="101">
        <v>17.86</v>
      </c>
      <c r="M27" s="101">
        <v>18.4</v>
      </c>
      <c r="N27" s="67">
        <f t="shared" si="0"/>
        <v>32.541165195173406</v>
      </c>
    </row>
    <row r="28" spans="1:14" ht="16.5" thickBot="1">
      <c r="A28" s="64"/>
      <c r="B28" s="109"/>
      <c r="C28" s="126" t="s">
        <v>60</v>
      </c>
      <c r="D28" s="68"/>
      <c r="E28" s="68"/>
      <c r="F28" s="68"/>
      <c r="G28" s="68"/>
      <c r="H28" s="68"/>
      <c r="I28" s="68"/>
      <c r="J28" s="101"/>
      <c r="K28" s="68"/>
      <c r="L28" s="101"/>
      <c r="M28" s="101"/>
      <c r="N28" s="67"/>
    </row>
    <row r="29" spans="1:14" ht="16.5" thickBot="1">
      <c r="A29" s="64"/>
      <c r="B29" s="109">
        <v>12</v>
      </c>
      <c r="C29" s="125"/>
      <c r="D29" s="68">
        <v>11.74966</v>
      </c>
      <c r="E29" s="68">
        <v>11.9272</v>
      </c>
      <c r="F29" s="68">
        <v>11.9617</v>
      </c>
      <c r="G29" s="68">
        <v>14.09111</v>
      </c>
      <c r="H29" s="68">
        <v>18.58307</v>
      </c>
      <c r="I29" s="68">
        <v>25.7837</v>
      </c>
      <c r="J29" s="101">
        <v>29.88186</v>
      </c>
      <c r="K29" s="68">
        <v>40.76</v>
      </c>
      <c r="L29" s="101">
        <v>48.86</v>
      </c>
      <c r="M29" s="101">
        <v>53.01</v>
      </c>
      <c r="N29" s="67">
        <f t="shared" si="0"/>
        <v>24.710235644934397</v>
      </c>
    </row>
    <row r="30" spans="1:14" ht="16.5" thickBot="1">
      <c r="A30" s="64"/>
      <c r="B30" s="109"/>
      <c r="C30" s="126" t="s">
        <v>59</v>
      </c>
      <c r="D30" s="68"/>
      <c r="E30" s="68"/>
      <c r="F30" s="68"/>
      <c r="G30" s="68"/>
      <c r="H30" s="68"/>
      <c r="I30" s="68"/>
      <c r="J30" s="101"/>
      <c r="K30" s="68"/>
      <c r="L30" s="101"/>
      <c r="M30" s="101"/>
      <c r="N30" s="67"/>
    </row>
    <row r="31" spans="1:14" ht="16.5" thickBot="1">
      <c r="A31" s="64"/>
      <c r="B31" s="109">
        <v>13</v>
      </c>
      <c r="C31" s="125"/>
      <c r="D31" s="68">
        <v>41.20888</v>
      </c>
      <c r="E31" s="68">
        <v>42.35913</v>
      </c>
      <c r="F31" s="68">
        <v>44.02345</v>
      </c>
      <c r="G31" s="68">
        <v>45.56331</v>
      </c>
      <c r="H31" s="68">
        <v>46.77989</v>
      </c>
      <c r="I31" s="68">
        <v>49.68174</v>
      </c>
      <c r="J31" s="101">
        <v>50.50039</v>
      </c>
      <c r="K31" s="68">
        <v>51.18</v>
      </c>
      <c r="L31" s="101">
        <v>51.39</v>
      </c>
      <c r="M31" s="101">
        <v>51.41</v>
      </c>
      <c r="N31" s="67">
        <f t="shared" si="0"/>
        <v>2.0325458245320505</v>
      </c>
    </row>
    <row r="32" spans="1:14" ht="16.5" thickBot="1">
      <c r="A32" s="64"/>
      <c r="B32" s="109"/>
      <c r="C32" s="126" t="s">
        <v>58</v>
      </c>
      <c r="D32" s="68"/>
      <c r="E32" s="68"/>
      <c r="F32" s="68"/>
      <c r="G32" s="68"/>
      <c r="H32" s="68"/>
      <c r="I32" s="68"/>
      <c r="J32" s="101"/>
      <c r="K32" s="68"/>
      <c r="L32" s="101"/>
      <c r="M32" s="101"/>
      <c r="N32" s="67"/>
    </row>
    <row r="33" spans="1:14" ht="16.5" thickBot="1">
      <c r="A33" s="64"/>
      <c r="B33" s="109">
        <v>14</v>
      </c>
      <c r="C33" s="125"/>
      <c r="D33" s="68">
        <v>7.37589</v>
      </c>
      <c r="E33" s="68">
        <v>7.80867</v>
      </c>
      <c r="F33" s="68">
        <v>10.32172</v>
      </c>
      <c r="G33" s="68">
        <v>14.22914</v>
      </c>
      <c r="H33" s="68">
        <v>19.2243</v>
      </c>
      <c r="I33" s="68">
        <v>27.90467</v>
      </c>
      <c r="J33" s="101">
        <v>41.9658</v>
      </c>
      <c r="K33" s="68">
        <v>52.5</v>
      </c>
      <c r="L33" s="101">
        <v>64.16</v>
      </c>
      <c r="M33" s="101">
        <v>73.17</v>
      </c>
      <c r="N33" s="67">
        <f t="shared" si="0"/>
        <v>31.378934019024097</v>
      </c>
    </row>
    <row r="34" spans="1:14" ht="16.5" thickBot="1">
      <c r="A34" s="64"/>
      <c r="B34" s="109"/>
      <c r="C34" s="126" t="s">
        <v>57</v>
      </c>
      <c r="D34" s="68"/>
      <c r="E34" s="68"/>
      <c r="F34" s="68"/>
      <c r="G34" s="68"/>
      <c r="H34" s="68"/>
      <c r="I34" s="68"/>
      <c r="J34" s="101"/>
      <c r="K34" s="68"/>
      <c r="L34" s="101"/>
      <c r="M34" s="101"/>
      <c r="N34" s="67"/>
    </row>
    <row r="35" spans="1:14" ht="16.5" thickBot="1">
      <c r="A35" s="64"/>
      <c r="B35" s="109">
        <v>15</v>
      </c>
      <c r="C35" s="125"/>
      <c r="D35" s="68">
        <v>20.62506</v>
      </c>
      <c r="E35" s="68">
        <v>21.75487</v>
      </c>
      <c r="F35" s="68">
        <v>25.48033</v>
      </c>
      <c r="G35" s="68">
        <v>34.87423</v>
      </c>
      <c r="H35" s="68">
        <v>50.11392</v>
      </c>
      <c r="I35" s="68">
        <v>62.03035</v>
      </c>
      <c r="J35" s="101">
        <v>70.57598</v>
      </c>
      <c r="K35" s="68">
        <v>79.92</v>
      </c>
      <c r="L35" s="101">
        <v>85.55</v>
      </c>
      <c r="M35" s="101">
        <v>90.74</v>
      </c>
      <c r="N35" s="67">
        <f t="shared" si="0"/>
        <v>17.277767797570064</v>
      </c>
    </row>
    <row r="36" spans="1:14" ht="16.5" thickBot="1">
      <c r="A36" s="64"/>
      <c r="B36" s="109"/>
      <c r="C36" s="126" t="s">
        <v>56</v>
      </c>
      <c r="D36" s="68"/>
      <c r="E36" s="68"/>
      <c r="F36" s="68"/>
      <c r="G36" s="68"/>
      <c r="H36" s="68"/>
      <c r="I36" s="68"/>
      <c r="J36" s="101"/>
      <c r="K36" s="68"/>
      <c r="L36" s="101"/>
      <c r="M36" s="101"/>
      <c r="N36" s="67"/>
    </row>
    <row r="37" spans="1:14" ht="16.5" thickBot="1">
      <c r="A37" s="64"/>
      <c r="B37" s="109">
        <v>16</v>
      </c>
      <c r="C37" s="125"/>
      <c r="D37" s="68">
        <v>2.29662</v>
      </c>
      <c r="E37" s="68">
        <v>2.29662</v>
      </c>
      <c r="F37" s="68">
        <v>2.29662</v>
      </c>
      <c r="G37" s="68">
        <v>2.30334</v>
      </c>
      <c r="H37" s="68">
        <v>2.31381</v>
      </c>
      <c r="I37" s="68">
        <v>2.3486</v>
      </c>
      <c r="J37" s="101">
        <v>2.3945</v>
      </c>
      <c r="K37" s="68">
        <v>2.55</v>
      </c>
      <c r="L37" s="101">
        <v>3.05</v>
      </c>
      <c r="M37" s="101">
        <v>3.6</v>
      </c>
      <c r="N37" s="67">
        <f t="shared" si="0"/>
        <v>7.72687832591985</v>
      </c>
    </row>
    <row r="38" spans="1:14" ht="16.5" thickBot="1">
      <c r="A38" s="64"/>
      <c r="B38" s="109"/>
      <c r="C38" s="126" t="s">
        <v>55</v>
      </c>
      <c r="D38" s="68"/>
      <c r="E38" s="68"/>
      <c r="F38" s="68"/>
      <c r="G38" s="68"/>
      <c r="H38" s="68"/>
      <c r="I38" s="68"/>
      <c r="J38" s="101"/>
      <c r="K38" s="68"/>
      <c r="L38" s="101"/>
      <c r="M38" s="101"/>
      <c r="N38" s="67"/>
    </row>
    <row r="39" spans="1:14" ht="16.5" thickBot="1">
      <c r="A39" s="64"/>
      <c r="B39" s="109">
        <v>17</v>
      </c>
      <c r="C39" s="125"/>
      <c r="D39" s="68">
        <v>1.32199</v>
      </c>
      <c r="E39" s="68">
        <v>1.32199</v>
      </c>
      <c r="F39" s="68">
        <v>1.32199</v>
      </c>
      <c r="G39" s="68">
        <v>1.32199</v>
      </c>
      <c r="H39" s="68">
        <v>1.32859</v>
      </c>
      <c r="I39" s="68">
        <v>1.5617</v>
      </c>
      <c r="J39" s="101">
        <v>1.86174</v>
      </c>
      <c r="K39" s="68">
        <v>2.33</v>
      </c>
      <c r="L39" s="101">
        <v>2.99</v>
      </c>
      <c r="M39" s="101">
        <v>3.5</v>
      </c>
      <c r="N39" s="67">
        <f t="shared" si="0"/>
        <v>17.617870570508963</v>
      </c>
    </row>
    <row r="40" spans="1:14" ht="16.5" thickBot="1">
      <c r="A40" s="64"/>
      <c r="B40" s="109"/>
      <c r="C40" s="126" t="s">
        <v>54</v>
      </c>
      <c r="D40" s="68"/>
      <c r="E40" s="68"/>
      <c r="F40" s="68"/>
      <c r="G40" s="68"/>
      <c r="H40" s="68"/>
      <c r="I40" s="68"/>
      <c r="J40" s="101"/>
      <c r="K40" s="68"/>
      <c r="L40" s="101"/>
      <c r="M40" s="101"/>
      <c r="N40" s="67"/>
    </row>
    <row r="41" spans="1:14" ht="16.5" thickBot="1">
      <c r="A41" s="64"/>
      <c r="B41" s="109">
        <v>18</v>
      </c>
      <c r="C41" s="125"/>
      <c r="D41" s="68">
        <v>0.63285</v>
      </c>
      <c r="E41" s="68">
        <v>0.63285</v>
      </c>
      <c r="F41" s="68">
        <v>0.63285</v>
      </c>
      <c r="G41" s="68">
        <v>0.63285</v>
      </c>
      <c r="H41" s="68">
        <v>1.05949</v>
      </c>
      <c r="I41" s="68">
        <v>1.21602</v>
      </c>
      <c r="J41" s="101">
        <v>1.30575</v>
      </c>
      <c r="K41" s="68">
        <v>1.38</v>
      </c>
      <c r="L41" s="101">
        <v>1.4</v>
      </c>
      <c r="M41" s="101">
        <v>1.57</v>
      </c>
      <c r="N41" s="67">
        <f t="shared" si="0"/>
        <v>16.35002421132521</v>
      </c>
    </row>
    <row r="42" spans="1:14" ht="16.5" thickBot="1">
      <c r="A42" s="64"/>
      <c r="B42" s="109"/>
      <c r="C42" s="126" t="s">
        <v>53</v>
      </c>
      <c r="D42" s="68"/>
      <c r="E42" s="68"/>
      <c r="F42" s="68"/>
      <c r="G42" s="68"/>
      <c r="H42" s="68"/>
      <c r="I42" s="68"/>
      <c r="J42" s="101"/>
      <c r="K42" s="68"/>
      <c r="L42" s="101"/>
      <c r="M42" s="101"/>
      <c r="N42" s="67"/>
    </row>
    <row r="43" spans="1:14" ht="16.5" thickBot="1">
      <c r="A43" s="64"/>
      <c r="B43" s="109">
        <v>19</v>
      </c>
      <c r="C43" s="125"/>
      <c r="D43" s="68">
        <v>1.73975</v>
      </c>
      <c r="E43" s="68">
        <v>1.88288</v>
      </c>
      <c r="F43" s="68">
        <v>1.90115</v>
      </c>
      <c r="G43" s="68">
        <v>1.90115</v>
      </c>
      <c r="H43" s="68">
        <v>1.91246</v>
      </c>
      <c r="I43" s="128">
        <v>2.03402</v>
      </c>
      <c r="J43" s="129">
        <v>2.08945</v>
      </c>
      <c r="K43" s="128">
        <v>2.35</v>
      </c>
      <c r="L43" s="129">
        <v>2.53</v>
      </c>
      <c r="M43" s="129">
        <v>2.99</v>
      </c>
      <c r="N43" s="67">
        <f t="shared" si="0"/>
        <v>7.838987281377463</v>
      </c>
    </row>
    <row r="44" spans="1:14" ht="16.5" thickBot="1">
      <c r="A44" s="64"/>
      <c r="B44" s="109"/>
      <c r="C44" s="126" t="s">
        <v>52</v>
      </c>
      <c r="D44" s="68"/>
      <c r="E44" s="68"/>
      <c r="F44" s="68"/>
      <c r="G44" s="68"/>
      <c r="H44" s="68"/>
      <c r="I44" s="68"/>
      <c r="J44" s="101"/>
      <c r="K44" s="68"/>
      <c r="L44" s="101"/>
      <c r="M44" s="101"/>
      <c r="N44" s="67"/>
    </row>
    <row r="45" spans="1:14" ht="15" customHeight="1" thickBot="1">
      <c r="A45" s="64"/>
      <c r="B45" s="109">
        <v>20</v>
      </c>
      <c r="C45" s="125"/>
      <c r="D45" s="68">
        <v>5.74192</v>
      </c>
      <c r="E45" s="68">
        <v>8.0226</v>
      </c>
      <c r="F45" s="68">
        <v>11.15384</v>
      </c>
      <c r="G45" s="68">
        <v>14.14152</v>
      </c>
      <c r="H45" s="68">
        <v>18.03954</v>
      </c>
      <c r="I45" s="68">
        <v>22.79858</v>
      </c>
      <c r="J45" s="101">
        <v>26.0366</v>
      </c>
      <c r="K45" s="68">
        <v>31.43</v>
      </c>
      <c r="L45" s="101">
        <v>39.96</v>
      </c>
      <c r="M45" s="101">
        <v>43.55</v>
      </c>
      <c r="N45" s="67">
        <f t="shared" si="0"/>
        <v>20.61889472249039</v>
      </c>
    </row>
    <row r="46" spans="1:14" ht="15" customHeight="1" thickBot="1">
      <c r="A46" s="64"/>
      <c r="B46" s="109"/>
      <c r="C46" s="126" t="s">
        <v>51</v>
      </c>
      <c r="D46" s="68"/>
      <c r="E46" s="68"/>
      <c r="F46" s="68"/>
      <c r="G46" s="68"/>
      <c r="H46" s="68"/>
      <c r="I46" s="68"/>
      <c r="J46" s="101"/>
      <c r="K46" s="68"/>
      <c r="L46" s="101"/>
      <c r="M46" s="101"/>
      <c r="N46" s="67"/>
    </row>
    <row r="47" spans="1:14" ht="15" customHeight="1" thickBot="1">
      <c r="A47" s="64"/>
      <c r="B47" s="109">
        <v>21</v>
      </c>
      <c r="C47" s="125"/>
      <c r="D47" s="68">
        <v>11.57619</v>
      </c>
      <c r="E47" s="68">
        <v>11.60051</v>
      </c>
      <c r="F47" s="68">
        <v>11.60051</v>
      </c>
      <c r="G47" s="68">
        <v>11.60076</v>
      </c>
      <c r="H47" s="68">
        <v>11.60076</v>
      </c>
      <c r="I47" s="68">
        <v>13.31789</v>
      </c>
      <c r="J47" s="101">
        <v>15.9557</v>
      </c>
      <c r="K47" s="68">
        <v>17.52</v>
      </c>
      <c r="L47" s="101">
        <v>18.7</v>
      </c>
      <c r="M47" s="101">
        <v>19.03</v>
      </c>
      <c r="N47" s="67">
        <f t="shared" si="0"/>
        <v>8.598891182104662</v>
      </c>
    </row>
    <row r="48" spans="1:14" ht="15" customHeight="1" thickBot="1">
      <c r="A48" s="64"/>
      <c r="B48" s="109"/>
      <c r="C48" s="126" t="s">
        <v>50</v>
      </c>
      <c r="D48" s="68"/>
      <c r="E48" s="68"/>
      <c r="F48" s="68"/>
      <c r="G48" s="68"/>
      <c r="H48" s="68"/>
      <c r="I48" s="68"/>
      <c r="J48" s="101"/>
      <c r="K48" s="68"/>
      <c r="L48" s="101"/>
      <c r="M48" s="101"/>
      <c r="N48" s="67"/>
    </row>
    <row r="49" spans="1:14" ht="15" customHeight="1" thickBot="1">
      <c r="A49" s="64"/>
      <c r="B49" s="109">
        <v>22</v>
      </c>
      <c r="C49" s="125"/>
      <c r="D49" s="68">
        <v>10.45385</v>
      </c>
      <c r="E49" s="68">
        <v>10.68247</v>
      </c>
      <c r="F49" s="68">
        <v>11.7915</v>
      </c>
      <c r="G49" s="68">
        <v>12.85892</v>
      </c>
      <c r="H49" s="68">
        <v>14.37963</v>
      </c>
      <c r="I49" s="68">
        <v>22.47439</v>
      </c>
      <c r="J49" s="101">
        <v>31.37201</v>
      </c>
      <c r="K49" s="68">
        <v>38.03</v>
      </c>
      <c r="L49" s="101">
        <v>45.54</v>
      </c>
      <c r="M49" s="101">
        <v>52.84</v>
      </c>
      <c r="N49" s="67">
        <f t="shared" si="0"/>
        <v>26.559005190024653</v>
      </c>
    </row>
    <row r="50" spans="1:14" ht="15" customHeight="1" thickBot="1">
      <c r="A50" s="64"/>
      <c r="B50" s="109"/>
      <c r="C50" s="126" t="s">
        <v>49</v>
      </c>
      <c r="D50" s="68"/>
      <c r="E50" s="68"/>
      <c r="F50" s="68"/>
      <c r="G50" s="68"/>
      <c r="H50" s="68"/>
      <c r="I50" s="68"/>
      <c r="J50" s="101"/>
      <c r="K50" s="68"/>
      <c r="L50" s="101"/>
      <c r="M50" s="101"/>
      <c r="N50" s="67"/>
    </row>
    <row r="51" spans="1:14" ht="15" customHeight="1" thickBot="1">
      <c r="A51" s="64"/>
      <c r="B51" s="109">
        <v>23</v>
      </c>
      <c r="C51" s="125"/>
      <c r="D51" s="68">
        <v>0.55573</v>
      </c>
      <c r="E51" s="68">
        <v>0.58573</v>
      </c>
      <c r="F51" s="68">
        <v>0.80015</v>
      </c>
      <c r="G51" s="68">
        <v>1.1167</v>
      </c>
      <c r="H51" s="68">
        <v>1.36125</v>
      </c>
      <c r="I51" s="68">
        <v>1.45326</v>
      </c>
      <c r="J51" s="101">
        <v>1.49038</v>
      </c>
      <c r="K51" s="68">
        <v>1.49</v>
      </c>
      <c r="L51" s="101">
        <v>1.49</v>
      </c>
      <c r="M51" s="101">
        <v>1.49</v>
      </c>
      <c r="N51" s="67">
        <f t="shared" si="0"/>
        <v>4.924028977801065</v>
      </c>
    </row>
    <row r="52" spans="1:14" ht="15" customHeight="1" thickBot="1">
      <c r="A52" s="64"/>
      <c r="B52" s="109"/>
      <c r="C52" s="126" t="s">
        <v>48</v>
      </c>
      <c r="D52" s="68"/>
      <c r="E52" s="68"/>
      <c r="F52" s="68"/>
      <c r="G52" s="68"/>
      <c r="H52" s="68"/>
      <c r="I52" s="68"/>
      <c r="J52" s="101"/>
      <c r="K52" s="68"/>
      <c r="L52" s="101"/>
      <c r="M52" s="101"/>
      <c r="N52" s="67"/>
    </row>
    <row r="53" spans="1:14" ht="15" customHeight="1" thickBot="1">
      <c r="A53" s="64"/>
      <c r="B53" s="109">
        <v>24</v>
      </c>
      <c r="C53" s="125"/>
      <c r="D53" s="68">
        <v>13.65702</v>
      </c>
      <c r="E53" s="68">
        <v>20.84737</v>
      </c>
      <c r="F53" s="68">
        <v>28.90185</v>
      </c>
      <c r="G53" s="68">
        <v>51.77698</v>
      </c>
      <c r="H53" s="68">
        <v>55.68799</v>
      </c>
      <c r="I53" s="68">
        <v>62.17159</v>
      </c>
      <c r="J53" s="101">
        <v>66.39126</v>
      </c>
      <c r="K53" s="68">
        <v>71.72</v>
      </c>
      <c r="L53" s="101">
        <v>76.46</v>
      </c>
      <c r="M53" s="101">
        <v>80.57</v>
      </c>
      <c r="N53" s="67">
        <f t="shared" si="0"/>
        <v>7.648035332047187</v>
      </c>
    </row>
    <row r="54" spans="1:14" ht="15" customHeight="1" thickBot="1">
      <c r="A54" s="64"/>
      <c r="B54" s="109"/>
      <c r="C54" s="126" t="s">
        <v>47</v>
      </c>
      <c r="D54" s="68"/>
      <c r="E54" s="68"/>
      <c r="F54" s="68"/>
      <c r="G54" s="68"/>
      <c r="H54" s="68"/>
      <c r="I54" s="68"/>
      <c r="J54" s="101"/>
      <c r="K54" s="68"/>
      <c r="L54" s="101"/>
      <c r="M54" s="101"/>
      <c r="N54" s="67"/>
    </row>
    <row r="55" spans="1:14" ht="15" customHeight="1" thickBot="1">
      <c r="A55" s="64"/>
      <c r="B55" s="109">
        <v>25</v>
      </c>
      <c r="C55" s="125"/>
      <c r="D55" s="68">
        <v>4.5441</v>
      </c>
      <c r="E55" s="68">
        <v>7.00822</v>
      </c>
      <c r="F55" s="68">
        <v>7.52202</v>
      </c>
      <c r="G55" s="68">
        <v>8.54185</v>
      </c>
      <c r="H55" s="68">
        <v>8.74532</v>
      </c>
      <c r="I55" s="68">
        <v>8.77473</v>
      </c>
      <c r="J55" s="101">
        <v>9.40444</v>
      </c>
      <c r="K55" s="68">
        <v>9.68</v>
      </c>
      <c r="L55" s="101">
        <v>9.98</v>
      </c>
      <c r="M55" s="101">
        <v>10.23</v>
      </c>
      <c r="N55" s="67">
        <f t="shared" si="0"/>
        <v>3.0514124799371434</v>
      </c>
    </row>
    <row r="56" spans="1:14" ht="15" customHeight="1" thickBot="1">
      <c r="A56" s="64"/>
      <c r="B56" s="109"/>
      <c r="C56" s="126" t="s">
        <v>46</v>
      </c>
      <c r="D56" s="68"/>
      <c r="E56" s="68"/>
      <c r="F56" s="68"/>
      <c r="G56" s="68"/>
      <c r="H56" s="68"/>
      <c r="I56" s="68"/>
      <c r="J56" s="101"/>
      <c r="K56" s="68"/>
      <c r="L56" s="101"/>
      <c r="M56" s="101"/>
      <c r="N56" s="67"/>
    </row>
    <row r="57" spans="1:14" ht="15" customHeight="1" thickBot="1">
      <c r="A57" s="64"/>
      <c r="B57" s="109">
        <v>26</v>
      </c>
      <c r="C57" s="125"/>
      <c r="D57" s="68">
        <v>41.15811</v>
      </c>
      <c r="E57" s="68">
        <v>45.9309</v>
      </c>
      <c r="F57" s="68">
        <v>56.23429</v>
      </c>
      <c r="G57" s="68">
        <v>77.55521</v>
      </c>
      <c r="H57" s="68">
        <v>95.26383</v>
      </c>
      <c r="I57" s="68">
        <v>115.40907</v>
      </c>
      <c r="J57" s="101">
        <v>139.56061</v>
      </c>
      <c r="K57" s="68">
        <v>166.26</v>
      </c>
      <c r="L57" s="101">
        <v>195.41</v>
      </c>
      <c r="M57" s="101">
        <v>211.54</v>
      </c>
      <c r="N57" s="67">
        <f t="shared" si="0"/>
        <v>18.20347753785734</v>
      </c>
    </row>
    <row r="58" spans="1:14" ht="15" customHeight="1" thickBot="1">
      <c r="A58" s="64"/>
      <c r="B58" s="109"/>
      <c r="C58" s="126" t="s">
        <v>45</v>
      </c>
      <c r="D58" s="68"/>
      <c r="E58" s="68"/>
      <c r="F58" s="68"/>
      <c r="G58" s="68"/>
      <c r="H58" s="68"/>
      <c r="I58" s="68"/>
      <c r="J58" s="101"/>
      <c r="K58" s="68"/>
      <c r="L58" s="101"/>
      <c r="M58" s="101"/>
      <c r="N58" s="67"/>
    </row>
    <row r="59" spans="1:14" ht="15" customHeight="1" thickBot="1">
      <c r="A59" s="64"/>
      <c r="B59" s="109">
        <v>27</v>
      </c>
      <c r="C59" s="125"/>
      <c r="D59" s="68">
        <v>3.78026</v>
      </c>
      <c r="E59" s="68">
        <v>3.78792</v>
      </c>
      <c r="F59" s="68">
        <v>4.14616</v>
      </c>
      <c r="G59" s="68">
        <v>4.71724</v>
      </c>
      <c r="H59" s="68">
        <v>5.36675</v>
      </c>
      <c r="I59" s="68">
        <v>6.12476</v>
      </c>
      <c r="J59" s="101">
        <v>7.1136</v>
      </c>
      <c r="K59" s="68">
        <v>8.26</v>
      </c>
      <c r="L59" s="101">
        <v>9.59</v>
      </c>
      <c r="M59" s="101">
        <v>10.84</v>
      </c>
      <c r="N59" s="67">
        <f t="shared" si="0"/>
        <v>14.87447818304215</v>
      </c>
    </row>
    <row r="60" spans="1:14" ht="15" customHeight="1" thickBot="1">
      <c r="A60" s="64"/>
      <c r="B60" s="109"/>
      <c r="C60" s="126" t="s">
        <v>44</v>
      </c>
      <c r="D60" s="68"/>
      <c r="E60" s="68"/>
      <c r="F60" s="68"/>
      <c r="G60" s="68"/>
      <c r="H60" s="68"/>
      <c r="I60" s="68"/>
      <c r="J60" s="101"/>
      <c r="K60" s="68"/>
      <c r="L60" s="101"/>
      <c r="M60" s="101"/>
      <c r="N60" s="67"/>
    </row>
    <row r="61" spans="1:14" ht="15" customHeight="1" thickBot="1">
      <c r="A61" s="64"/>
      <c r="B61" s="109">
        <v>28</v>
      </c>
      <c r="C61" s="125"/>
      <c r="D61" s="68">
        <v>35.5285</v>
      </c>
      <c r="E61" s="68">
        <v>53.58493</v>
      </c>
      <c r="F61" s="68">
        <v>62.01903</v>
      </c>
      <c r="G61" s="68">
        <v>70.40607</v>
      </c>
      <c r="H61" s="68">
        <v>79.70775</v>
      </c>
      <c r="I61" s="68">
        <v>86.63031</v>
      </c>
      <c r="J61" s="101">
        <v>92.99453</v>
      </c>
      <c r="K61" s="68">
        <v>98.15</v>
      </c>
      <c r="L61" s="101">
        <v>102.81</v>
      </c>
      <c r="M61" s="101">
        <v>110.82</v>
      </c>
      <c r="N61" s="67">
        <f t="shared" si="0"/>
        <v>7.8536069475182435</v>
      </c>
    </row>
    <row r="62" spans="1:14" ht="15.75" hidden="1">
      <c r="A62" s="64"/>
      <c r="B62" s="159" t="s">
        <v>43</v>
      </c>
      <c r="C62" s="160"/>
      <c r="D62" s="68">
        <v>313.88991</v>
      </c>
      <c r="E62" s="68">
        <v>375.00100999999995</v>
      </c>
      <c r="F62" s="68">
        <v>420.82347</v>
      </c>
      <c r="G62" s="68">
        <v>512.53754</v>
      </c>
      <c r="H62" s="68">
        <v>609.5382300000001</v>
      </c>
      <c r="I62" s="68">
        <v>724.8116800000001</v>
      </c>
      <c r="J62" s="101">
        <v>841.4927299999999</v>
      </c>
      <c r="K62" s="68">
        <v>961.54</v>
      </c>
      <c r="L62" s="101">
        <v>1083.98</v>
      </c>
      <c r="M62" s="101">
        <v>1171.97</v>
      </c>
      <c r="N62" s="67">
        <f>(((M62/D62)^(1/6))-1)*100</f>
        <v>24.553668443497823</v>
      </c>
    </row>
    <row r="63" spans="1:14" ht="16.5" thickBot="1">
      <c r="A63" s="64"/>
      <c r="B63" s="109"/>
      <c r="C63" s="126" t="s">
        <v>41</v>
      </c>
      <c r="D63" s="68"/>
      <c r="E63" s="68"/>
      <c r="F63" s="68"/>
      <c r="G63" s="68"/>
      <c r="H63" s="68"/>
      <c r="I63" s="68"/>
      <c r="J63" s="101"/>
      <c r="K63" s="68"/>
      <c r="L63" s="101"/>
      <c r="M63" s="101"/>
      <c r="N63" s="67"/>
    </row>
    <row r="64" spans="1:14" ht="15" customHeight="1" thickBot="1">
      <c r="A64" s="64"/>
      <c r="B64" s="109">
        <v>1</v>
      </c>
      <c r="C64" s="125"/>
      <c r="D64" s="68">
        <v>0.21018</v>
      </c>
      <c r="E64" s="68">
        <v>0.21018</v>
      </c>
      <c r="F64" s="68">
        <v>0.21018</v>
      </c>
      <c r="G64" s="68">
        <v>0.21018</v>
      </c>
      <c r="H64" s="68">
        <v>0.21018</v>
      </c>
      <c r="I64" s="68">
        <v>0.21018</v>
      </c>
      <c r="J64" s="101">
        <v>0.21018</v>
      </c>
      <c r="K64" s="68">
        <v>0.21</v>
      </c>
      <c r="L64" s="127">
        <v>0.21</v>
      </c>
      <c r="M64" s="101">
        <v>0.21</v>
      </c>
      <c r="N64" s="67">
        <f aca="true" t="shared" si="1" ref="N64:N76">(((M64/G64)^(1/6))-1)*100</f>
        <v>-0.014278575847337382</v>
      </c>
    </row>
    <row r="65" spans="1:14" ht="15" customHeight="1" thickBot="1">
      <c r="A65" s="64"/>
      <c r="B65" s="109"/>
      <c r="C65" s="126" t="s">
        <v>40</v>
      </c>
      <c r="D65" s="68"/>
      <c r="E65" s="68"/>
      <c r="F65" s="68"/>
      <c r="G65" s="68"/>
      <c r="H65" s="68"/>
      <c r="I65" s="68"/>
      <c r="J65" s="101"/>
      <c r="K65" s="68"/>
      <c r="L65" s="127"/>
      <c r="M65" s="101"/>
      <c r="N65" s="67"/>
    </row>
    <row r="66" spans="1:14" ht="15" customHeight="1" thickBot="1">
      <c r="A66" s="64"/>
      <c r="B66" s="109">
        <v>2</v>
      </c>
      <c r="C66" s="125"/>
      <c r="D66" s="68">
        <v>0.14598</v>
      </c>
      <c r="E66" s="68">
        <v>0.14598</v>
      </c>
      <c r="F66" s="68">
        <v>0.14598</v>
      </c>
      <c r="G66" s="68">
        <v>0.14598</v>
      </c>
      <c r="H66" s="68">
        <v>0.14598</v>
      </c>
      <c r="I66" s="68">
        <v>0.14598</v>
      </c>
      <c r="J66" s="101">
        <v>0.14598</v>
      </c>
      <c r="K66" s="68">
        <v>0.15</v>
      </c>
      <c r="L66" s="101">
        <v>0.15</v>
      </c>
      <c r="M66" s="101">
        <v>0.15</v>
      </c>
      <c r="N66" s="67">
        <f t="shared" si="1"/>
        <v>0.45378764640180425</v>
      </c>
    </row>
    <row r="67" spans="1:17" ht="15" customHeight="1" thickBot="1">
      <c r="A67" s="64"/>
      <c r="B67" s="109"/>
      <c r="C67" s="126" t="s">
        <v>39</v>
      </c>
      <c r="D67" s="68"/>
      <c r="E67" s="68"/>
      <c r="F67" s="68"/>
      <c r="G67" s="68"/>
      <c r="H67" s="68"/>
      <c r="I67" s="68"/>
      <c r="J67" s="101"/>
      <c r="K67" s="68"/>
      <c r="L67" s="101"/>
      <c r="M67" s="101"/>
      <c r="N67" s="67"/>
      <c r="Q67" s="123"/>
    </row>
    <row r="68" spans="1:14" ht="15" customHeight="1" thickBot="1">
      <c r="A68" s="64"/>
      <c r="B68" s="109">
        <v>3</v>
      </c>
      <c r="C68" s="125"/>
      <c r="D68" s="68">
        <v>0.05679</v>
      </c>
      <c r="E68" s="68">
        <v>0.05679</v>
      </c>
      <c r="F68" s="68">
        <v>0.05716</v>
      </c>
      <c r="G68" s="68">
        <v>0.05716</v>
      </c>
      <c r="H68" s="68">
        <v>0.05716</v>
      </c>
      <c r="I68" s="68">
        <v>0.05716</v>
      </c>
      <c r="J68" s="101">
        <v>0.05716</v>
      </c>
      <c r="K68" s="68">
        <v>0.06</v>
      </c>
      <c r="L68" s="101">
        <v>0.06</v>
      </c>
      <c r="M68" s="101">
        <v>0.06</v>
      </c>
      <c r="N68" s="67">
        <f t="shared" si="1"/>
        <v>0.8114446629130079</v>
      </c>
    </row>
    <row r="69" spans="1:14" ht="15" customHeight="1" thickBot="1">
      <c r="A69" s="64"/>
      <c r="B69" s="109"/>
      <c r="C69" s="126" t="s">
        <v>38</v>
      </c>
      <c r="D69" s="68"/>
      <c r="E69" s="68"/>
      <c r="F69" s="68"/>
      <c r="G69" s="68"/>
      <c r="H69" s="68"/>
      <c r="I69" s="68"/>
      <c r="J69" s="101"/>
      <c r="K69" s="68"/>
      <c r="L69" s="101"/>
      <c r="M69" s="101"/>
      <c r="N69" s="67"/>
    </row>
    <row r="70" spans="1:14" ht="15" customHeight="1" thickBot="1">
      <c r="A70" s="64"/>
      <c r="B70" s="109">
        <v>4</v>
      </c>
      <c r="C70" s="125"/>
      <c r="D70" s="68">
        <v>0.07074</v>
      </c>
      <c r="E70" s="68">
        <v>0.07074</v>
      </c>
      <c r="F70" s="68">
        <v>0.07074</v>
      </c>
      <c r="G70" s="68">
        <v>0.07074</v>
      </c>
      <c r="H70" s="68">
        <v>0.07074</v>
      </c>
      <c r="I70" s="68">
        <v>0.07074</v>
      </c>
      <c r="J70" s="101">
        <v>0.07074</v>
      </c>
      <c r="K70" s="68">
        <v>0.07</v>
      </c>
      <c r="L70" s="101">
        <v>0.07</v>
      </c>
      <c r="M70" s="101">
        <v>0.07</v>
      </c>
      <c r="N70" s="67">
        <f t="shared" si="1"/>
        <v>-0.17511219483730134</v>
      </c>
    </row>
    <row r="71" spans="1:14" ht="15" customHeight="1" thickBot="1">
      <c r="A71" s="64"/>
      <c r="B71" s="109"/>
      <c r="C71" s="126" t="s">
        <v>37</v>
      </c>
      <c r="D71" s="68"/>
      <c r="E71" s="68"/>
      <c r="F71" s="68"/>
      <c r="G71" s="68"/>
      <c r="H71" s="68"/>
      <c r="I71" s="68"/>
      <c r="J71" s="101"/>
      <c r="K71" s="68"/>
      <c r="L71" s="101"/>
      <c r="M71" s="101"/>
      <c r="N71" s="67"/>
    </row>
    <row r="72" spans="1:14" ht="15" customHeight="1" thickBot="1">
      <c r="A72" s="64"/>
      <c r="B72" s="109">
        <v>5</v>
      </c>
      <c r="C72" s="125"/>
      <c r="D72" s="68">
        <v>1.06608</v>
      </c>
      <c r="E72" s="68">
        <v>1.06608</v>
      </c>
      <c r="F72" s="68">
        <v>1.06608</v>
      </c>
      <c r="G72" s="68">
        <v>1.06608</v>
      </c>
      <c r="H72" s="68">
        <v>1.06608</v>
      </c>
      <c r="I72" s="68">
        <v>1.06608</v>
      </c>
      <c r="J72" s="101">
        <v>1.06608</v>
      </c>
      <c r="K72" s="68">
        <v>1.07</v>
      </c>
      <c r="L72" s="101">
        <v>1.07</v>
      </c>
      <c r="M72" s="101">
        <v>1.07</v>
      </c>
      <c r="N72" s="67">
        <f t="shared" si="1"/>
        <v>0.061190024157231626</v>
      </c>
    </row>
    <row r="73" spans="1:14" ht="15" customHeight="1" thickBot="1">
      <c r="A73" s="64"/>
      <c r="B73" s="109"/>
      <c r="C73" s="126" t="s">
        <v>36</v>
      </c>
      <c r="D73" s="68"/>
      <c r="E73" s="68"/>
      <c r="F73" s="68"/>
      <c r="G73" s="68"/>
      <c r="H73" s="68"/>
      <c r="I73" s="68"/>
      <c r="J73" s="101"/>
      <c r="K73" s="68"/>
      <c r="L73" s="101"/>
      <c r="M73" s="101"/>
      <c r="N73" s="67"/>
    </row>
    <row r="74" spans="1:14" ht="16.5" thickBot="1">
      <c r="A74" s="64"/>
      <c r="B74" s="109">
        <v>6</v>
      </c>
      <c r="C74" s="125"/>
      <c r="D74" s="68">
        <v>0.04984</v>
      </c>
      <c r="E74" s="68">
        <v>0.04984</v>
      </c>
      <c r="F74" s="68">
        <v>0.04984</v>
      </c>
      <c r="G74" s="68">
        <v>0.04984</v>
      </c>
      <c r="H74" s="68">
        <v>0.04984</v>
      </c>
      <c r="I74" s="68">
        <v>0.04984</v>
      </c>
      <c r="J74" s="101">
        <v>0.04984</v>
      </c>
      <c r="K74" s="68">
        <v>0.05</v>
      </c>
      <c r="L74" s="101">
        <v>0.05</v>
      </c>
      <c r="M74" s="101">
        <v>0.05</v>
      </c>
      <c r="N74" s="67">
        <f t="shared" si="1"/>
        <v>0.05343311955727792</v>
      </c>
    </row>
    <row r="75" spans="1:14" ht="16.5" thickBot="1">
      <c r="A75" s="64"/>
      <c r="B75" s="109"/>
      <c r="C75" s="126" t="s">
        <v>35</v>
      </c>
      <c r="D75" s="68"/>
      <c r="E75" s="68"/>
      <c r="F75" s="68"/>
      <c r="G75" s="68"/>
      <c r="H75" s="68"/>
      <c r="I75" s="68"/>
      <c r="J75" s="101"/>
      <c r="K75" s="68"/>
      <c r="L75" s="101"/>
      <c r="M75" s="101"/>
      <c r="N75" s="67"/>
    </row>
    <row r="76" spans="1:14" ht="16.5" thickBot="1">
      <c r="A76" s="64"/>
      <c r="B76" s="109">
        <v>7</v>
      </c>
      <c r="C76" s="125"/>
      <c r="D76" s="68">
        <v>0.15467</v>
      </c>
      <c r="E76" s="68">
        <v>0.16367</v>
      </c>
      <c r="F76" s="68">
        <v>0.16367</v>
      </c>
      <c r="G76" s="68">
        <v>0.16367</v>
      </c>
      <c r="H76" s="68">
        <v>0.16678</v>
      </c>
      <c r="I76" s="128">
        <v>0.17223</v>
      </c>
      <c r="J76" s="129">
        <v>0.1745</v>
      </c>
      <c r="K76" s="128">
        <v>0.18</v>
      </c>
      <c r="L76" s="129">
        <v>0.18</v>
      </c>
      <c r="M76" s="129">
        <v>0.18</v>
      </c>
      <c r="N76" s="67">
        <f t="shared" si="1"/>
        <v>1.5977064132494112</v>
      </c>
    </row>
    <row r="77" spans="1:14" ht="15.75" hidden="1">
      <c r="A77" s="64"/>
      <c r="B77" s="161" t="s">
        <v>34</v>
      </c>
      <c r="C77" s="162"/>
      <c r="D77" s="66">
        <v>1.7542800000000003</v>
      </c>
      <c r="E77" s="66">
        <v>1.7632800000000002</v>
      </c>
      <c r="F77" s="66">
        <v>1.76365</v>
      </c>
      <c r="G77" s="66">
        <v>1.76365</v>
      </c>
      <c r="H77" s="66">
        <v>1.7667599999999999</v>
      </c>
      <c r="I77" s="68">
        <v>1.7722099999999998</v>
      </c>
      <c r="J77" s="68">
        <v>1.77448</v>
      </c>
      <c r="K77" s="68">
        <v>1.78</v>
      </c>
      <c r="L77" s="68">
        <v>1.78</v>
      </c>
      <c r="M77" s="68">
        <v>1.78</v>
      </c>
      <c r="N77" s="65">
        <f>(((M77/D77)^(1/6))-1)*100</f>
        <v>0.24287526485564648</v>
      </c>
    </row>
    <row r="78" spans="1:14" ht="16.5" hidden="1" thickBot="1">
      <c r="A78" s="64"/>
      <c r="B78" s="163" t="s">
        <v>33</v>
      </c>
      <c r="C78" s="164"/>
      <c r="D78" s="62">
        <v>315.64419</v>
      </c>
      <c r="E78" s="62">
        <v>376.76428999999996</v>
      </c>
      <c r="F78" s="62">
        <v>422.58711999999997</v>
      </c>
      <c r="G78" s="110">
        <v>514.30119</v>
      </c>
      <c r="H78" s="110">
        <v>611.3049900000001</v>
      </c>
      <c r="I78" s="110">
        <v>726.5838900000001</v>
      </c>
      <c r="J78" s="110">
        <v>843.26721</v>
      </c>
      <c r="K78" s="110">
        <v>963.32</v>
      </c>
      <c r="L78" s="110">
        <v>963.32</v>
      </c>
      <c r="M78" s="110">
        <v>1173.75</v>
      </c>
      <c r="N78" s="111">
        <f>(((M78/D78)^(1/6))-1)*100</f>
        <v>24.46950648141817</v>
      </c>
    </row>
    <row r="79" spans="2:14" ht="15.75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2:14" ht="15.75">
      <c r="B80" s="165" t="s">
        <v>32</v>
      </c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61"/>
    </row>
  </sheetData>
  <sheetProtection/>
  <mergeCells count="19">
    <mergeCell ref="B2:N2"/>
    <mergeCell ref="B3:N3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B62:C62"/>
    <mergeCell ref="B77:C77"/>
    <mergeCell ref="B78:C78"/>
    <mergeCell ref="B80:M80"/>
    <mergeCell ref="J4:J5"/>
    <mergeCell ref="K4:K5"/>
    <mergeCell ref="L4:L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45"/>
  <sheetViews>
    <sheetView showGridLines="0" zoomScalePageLayoutView="0" workbookViewId="0" topLeftCell="A1">
      <selection activeCell="S10" sqref="S10"/>
    </sheetView>
  </sheetViews>
  <sheetFormatPr defaultColWidth="9.140625" defaultRowHeight="15"/>
  <cols>
    <col min="1" max="1" width="7.8515625" style="60" customWidth="1"/>
    <col min="2" max="2" width="6.421875" style="60" customWidth="1"/>
    <col min="3" max="3" width="17.57421875" style="60" customWidth="1"/>
    <col min="4" max="4" width="8.140625" style="60" customWidth="1"/>
    <col min="5" max="5" width="7.7109375" style="60" hidden="1" customWidth="1"/>
    <col min="6" max="6" width="8.00390625" style="60" hidden="1" customWidth="1"/>
    <col min="7" max="7" width="9.00390625" style="60" hidden="1" customWidth="1"/>
    <col min="8" max="9" width="8.140625" style="60" customWidth="1"/>
    <col min="10" max="10" width="8.00390625" style="60" customWidth="1"/>
    <col min="11" max="11" width="7.57421875" style="60" customWidth="1"/>
    <col min="12" max="13" width="9.140625" style="60" hidden="1" customWidth="1"/>
    <col min="14" max="14" width="8.421875" style="60" hidden="1" customWidth="1"/>
    <col min="15" max="16" width="8.00390625" style="60" customWidth="1"/>
    <col min="17" max="17" width="6.7109375" style="60" customWidth="1"/>
    <col min="18" max="16384" width="9.140625" style="60" customWidth="1"/>
  </cols>
  <sheetData>
    <row r="1" ht="45.75" customHeight="1" thickBot="1"/>
    <row r="2" spans="2:17" ht="42" customHeight="1">
      <c r="B2" s="180" t="s">
        <v>83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2"/>
    </row>
    <row r="3" spans="2:19" s="76" customFormat="1" ht="15.75">
      <c r="B3" s="183" t="s">
        <v>82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5"/>
      <c r="S3"/>
    </row>
    <row r="4" spans="2:17" ht="15.75">
      <c r="B4" s="174" t="s">
        <v>74</v>
      </c>
      <c r="C4" s="176" t="s">
        <v>73</v>
      </c>
      <c r="D4" s="186" t="s">
        <v>3</v>
      </c>
      <c r="E4" s="186"/>
      <c r="F4" s="186"/>
      <c r="G4" s="186"/>
      <c r="H4" s="186"/>
      <c r="I4" s="186"/>
      <c r="J4" s="186"/>
      <c r="K4" s="186" t="s">
        <v>4</v>
      </c>
      <c r="L4" s="186"/>
      <c r="M4" s="186"/>
      <c r="N4" s="186"/>
      <c r="O4" s="186"/>
      <c r="P4" s="186"/>
      <c r="Q4" s="187"/>
    </row>
    <row r="5" spans="2:17" ht="38.25">
      <c r="B5" s="175"/>
      <c r="C5" s="177"/>
      <c r="D5" s="75">
        <v>1993</v>
      </c>
      <c r="E5" s="167">
        <v>2002</v>
      </c>
      <c r="F5" s="167"/>
      <c r="G5" s="167"/>
      <c r="H5" s="167"/>
      <c r="I5" s="74">
        <v>2008</v>
      </c>
      <c r="J5" s="74" t="s">
        <v>81</v>
      </c>
      <c r="K5" s="75">
        <v>1993</v>
      </c>
      <c r="L5" s="167">
        <v>2002</v>
      </c>
      <c r="M5" s="167"/>
      <c r="N5" s="167"/>
      <c r="O5" s="167"/>
      <c r="P5" s="74">
        <v>2008</v>
      </c>
      <c r="Q5" s="71" t="s">
        <v>81</v>
      </c>
    </row>
    <row r="6" spans="2:17" ht="15.75">
      <c r="B6" s="70">
        <v>1</v>
      </c>
      <c r="C6" s="82" t="s">
        <v>71</v>
      </c>
      <c r="D6" s="82">
        <f>33+360+204+35</f>
        <v>632</v>
      </c>
      <c r="E6" s="79">
        <f>SUM(229+10+8)</f>
        <v>247</v>
      </c>
      <c r="F6" s="79">
        <v>106</v>
      </c>
      <c r="G6" s="79">
        <f>SUM(19+1+5)</f>
        <v>25</v>
      </c>
      <c r="H6" s="69">
        <f>E6+F6+G6+12</f>
        <v>390</v>
      </c>
      <c r="I6" s="82">
        <v>881</v>
      </c>
      <c r="J6" s="80">
        <f>((H6-D6)/D6)*100</f>
        <v>-38.291139240506325</v>
      </c>
      <c r="K6" s="84">
        <f>26+50+7+45</f>
        <v>128</v>
      </c>
      <c r="L6" s="79">
        <f>SUM(118,9,7)</f>
        <v>134</v>
      </c>
      <c r="M6" s="79">
        <f>SUM(51,2,4)</f>
        <v>57</v>
      </c>
      <c r="N6" s="79">
        <f>SUM(9+2+6)</f>
        <v>17</v>
      </c>
      <c r="O6" s="84">
        <f>E6+F6+G6+14</f>
        <v>392</v>
      </c>
      <c r="P6" s="86">
        <f>118+9+7+51+2+4+9+2+6</f>
        <v>208</v>
      </c>
      <c r="Q6" s="87">
        <f>((O6-K6)/K6)*100</f>
        <v>206.25</v>
      </c>
    </row>
    <row r="7" spans="2:17" ht="15.75">
      <c r="B7" s="70">
        <v>2</v>
      </c>
      <c r="C7" s="83" t="s">
        <v>70</v>
      </c>
      <c r="D7" s="83">
        <f>89+370+199+282</f>
        <v>940</v>
      </c>
      <c r="E7" s="79">
        <f>SUM(118,68,155)</f>
        <v>341</v>
      </c>
      <c r="F7" s="79">
        <f>SUM(25+16+7)</f>
        <v>48</v>
      </c>
      <c r="G7" s="79">
        <f>SUM(55+27+8)</f>
        <v>90</v>
      </c>
      <c r="H7" s="69">
        <f>E7+F7+G7+286</f>
        <v>765</v>
      </c>
      <c r="I7" s="83">
        <v>988</v>
      </c>
      <c r="J7" s="80">
        <f>((H7-D7)/D7)*100</f>
        <v>-18.617021276595743</v>
      </c>
      <c r="K7" s="85">
        <f>157+16+6+436</f>
        <v>615</v>
      </c>
      <c r="L7" s="79">
        <f>SUM(81,69,156)</f>
        <v>306</v>
      </c>
      <c r="M7" s="79">
        <f>SUM(12,15,3)</f>
        <v>30</v>
      </c>
      <c r="N7" s="79">
        <f>SUM(28+23+3)</f>
        <v>54</v>
      </c>
      <c r="O7" s="85">
        <f>E7+F7+G7+320</f>
        <v>799</v>
      </c>
      <c r="P7" s="88">
        <f>81+69+156+12+15+3+28+23+3+320</f>
        <v>710</v>
      </c>
      <c r="Q7" s="89">
        <f>((O7-K7)/K7)*100</f>
        <v>29.91869918699187</v>
      </c>
    </row>
    <row r="8" spans="2:17" ht="15.75">
      <c r="B8" s="70">
        <v>3</v>
      </c>
      <c r="C8" s="83" t="s">
        <v>69</v>
      </c>
      <c r="D8" s="83">
        <f>147+551+32+198</f>
        <v>928</v>
      </c>
      <c r="E8" s="79">
        <f>SUM(155+39+11)</f>
        <v>205</v>
      </c>
      <c r="F8" s="79">
        <v>14</v>
      </c>
      <c r="G8" s="79">
        <f>SUM(3+8+2)</f>
        <v>13</v>
      </c>
      <c r="H8" s="69">
        <f>E8+F8+G8+282</f>
        <v>514</v>
      </c>
      <c r="I8" s="83">
        <f>2+122+848+14</f>
        <v>986</v>
      </c>
      <c r="J8" s="80">
        <f>((H8-D8)/D8)*100</f>
        <v>-44.612068965517246</v>
      </c>
      <c r="K8" s="85">
        <f>160+68+3+471</f>
        <v>702</v>
      </c>
      <c r="L8" s="79">
        <f>SUM(102,42,12)</f>
        <v>156</v>
      </c>
      <c r="M8" s="79">
        <v>3</v>
      </c>
      <c r="N8" s="79">
        <f>SUM(2+3+9)</f>
        <v>14</v>
      </c>
      <c r="O8" s="85">
        <f>E8+F8+G8+306</f>
        <v>538</v>
      </c>
      <c r="P8" s="88">
        <f>102+42+12+0+2+1+2+9+3+306</f>
        <v>479</v>
      </c>
      <c r="Q8" s="89">
        <f>((O8-K8)/K8)*100</f>
        <v>-23.36182336182336</v>
      </c>
    </row>
    <row r="9" spans="2:17" ht="15.75">
      <c r="B9" s="70">
        <v>4</v>
      </c>
      <c r="C9" s="83" t="s">
        <v>68</v>
      </c>
      <c r="D9" s="83">
        <f>72+463+71+40</f>
        <v>646</v>
      </c>
      <c r="E9" s="79">
        <f>SUM(95+22+2)</f>
        <v>119</v>
      </c>
      <c r="F9" s="79">
        <f>SUM(24+3+2)</f>
        <v>29</v>
      </c>
      <c r="G9" s="79">
        <f>SUM(18,3,28)</f>
        <v>49</v>
      </c>
      <c r="H9" s="69">
        <f>E9+F9+G9+15</f>
        <v>212</v>
      </c>
      <c r="I9" s="83">
        <f>21+33+619+42</f>
        <v>715</v>
      </c>
      <c r="J9" s="80">
        <f>((H9-D9)/D9)*100</f>
        <v>-67.18266253869969</v>
      </c>
      <c r="K9" s="85">
        <f>11+42+1+15</f>
        <v>69</v>
      </c>
      <c r="L9" s="79">
        <f>SUM(54,21,2)</f>
        <v>77</v>
      </c>
      <c r="M9" s="79">
        <f>SUM(9+3)</f>
        <v>12</v>
      </c>
      <c r="N9" s="79">
        <f>SUM(12+3+31)</f>
        <v>46</v>
      </c>
      <c r="O9" s="85">
        <f>E9+F9+G9+15</f>
        <v>212</v>
      </c>
      <c r="P9" s="88">
        <f>54+21+2+9+3+12+3+31+15</f>
        <v>150</v>
      </c>
      <c r="Q9" s="89">
        <f>((O9-K9)/K9)*100</f>
        <v>207.2463768115942</v>
      </c>
    </row>
    <row r="10" spans="2:17" ht="15.75">
      <c r="B10" s="70">
        <v>5</v>
      </c>
      <c r="C10" s="83" t="s">
        <v>67</v>
      </c>
      <c r="D10" s="85" t="s">
        <v>79</v>
      </c>
      <c r="E10" s="79">
        <f>SUM(104+0+1)</f>
        <v>105</v>
      </c>
      <c r="F10" s="79">
        <f>SUM(47+3+0)</f>
        <v>50</v>
      </c>
      <c r="G10" s="79">
        <f>SUM(21,0,1)</f>
        <v>22</v>
      </c>
      <c r="H10" s="69">
        <f>E10+F10+G10</f>
        <v>177</v>
      </c>
      <c r="I10" s="83">
        <f>5+12+643+19</f>
        <v>679</v>
      </c>
      <c r="J10" s="81" t="s">
        <v>79</v>
      </c>
      <c r="K10" s="85" t="s">
        <v>79</v>
      </c>
      <c r="L10" s="79">
        <v>45</v>
      </c>
      <c r="M10" s="79">
        <v>38</v>
      </c>
      <c r="N10" s="79">
        <v>4</v>
      </c>
      <c r="O10" s="85">
        <f>E10+F10+G10</f>
        <v>177</v>
      </c>
      <c r="P10" s="88">
        <f>44+0+1+38+0+0+4</f>
        <v>87</v>
      </c>
      <c r="Q10" s="90" t="s">
        <v>79</v>
      </c>
    </row>
    <row r="11" spans="2:17" ht="15.75">
      <c r="B11" s="70">
        <v>6</v>
      </c>
      <c r="C11" s="83" t="s">
        <v>66</v>
      </c>
      <c r="D11" s="83">
        <f>608+101+69</f>
        <v>778</v>
      </c>
      <c r="E11" s="79">
        <f>SUM(457+8+28)</f>
        <v>493</v>
      </c>
      <c r="F11" s="79">
        <f>SUM(244,2,0)</f>
        <v>246</v>
      </c>
      <c r="G11" s="79">
        <f>SUM(4+8)</f>
        <v>12</v>
      </c>
      <c r="H11" s="69">
        <f>E11+F11+G11+32</f>
        <v>783</v>
      </c>
      <c r="I11" s="83">
        <f>2+14+876</f>
        <v>892</v>
      </c>
      <c r="J11" s="80">
        <f>((H11-D11)/D11)*100</f>
        <v>0.6426735218508998</v>
      </c>
      <c r="K11" s="85">
        <f>58+165+1+80</f>
        <v>304</v>
      </c>
      <c r="L11" s="79">
        <f>SUM(513,13,18)</f>
        <v>544</v>
      </c>
      <c r="M11" s="79">
        <f>SUM(117+3)</f>
        <v>120</v>
      </c>
      <c r="N11" s="79">
        <f>SUM(2+13)</f>
        <v>15</v>
      </c>
      <c r="O11" s="85">
        <f>E11+F11+G11+50</f>
        <v>801</v>
      </c>
      <c r="P11" s="88">
        <f>513+13+18+117+3+2+13+50</f>
        <v>729</v>
      </c>
      <c r="Q11" s="89">
        <f>((O11-K11)/K11)*100</f>
        <v>163.48684210526315</v>
      </c>
    </row>
    <row r="12" spans="2:17" ht="15.75">
      <c r="B12" s="70">
        <v>7</v>
      </c>
      <c r="C12" s="83" t="s">
        <v>65</v>
      </c>
      <c r="D12" s="83">
        <f>8+239+468+8</f>
        <v>723</v>
      </c>
      <c r="E12" s="79">
        <f>SUM(356+41+2)</f>
        <v>399</v>
      </c>
      <c r="F12" s="79">
        <f>SUM(56+5+3)</f>
        <v>64</v>
      </c>
      <c r="G12" s="79">
        <f>SUM(27+3)</f>
        <v>30</v>
      </c>
      <c r="H12" s="69">
        <f>E12+F12+G12+1</f>
        <v>494</v>
      </c>
      <c r="I12" s="83">
        <f>7+115+795+6</f>
        <v>923</v>
      </c>
      <c r="J12" s="80">
        <f>((H12-D12)/D12)*100</f>
        <v>-31.673582295988933</v>
      </c>
      <c r="K12" s="85">
        <f>10+85+39+36</f>
        <v>170</v>
      </c>
      <c r="L12" s="79">
        <f>SUM(142,47,3)</f>
        <v>192</v>
      </c>
      <c r="M12" s="79">
        <f>SUM(10+3)</f>
        <v>13</v>
      </c>
      <c r="N12" s="79">
        <f>SUM(13+1+2)</f>
        <v>16</v>
      </c>
      <c r="O12" s="85">
        <f>E12+F12+G12</f>
        <v>493</v>
      </c>
      <c r="P12" s="88">
        <f>142+47+3+10+3+13+1+2</f>
        <v>221</v>
      </c>
      <c r="Q12" s="89">
        <f>((O12-K12)/K12)*100</f>
        <v>190</v>
      </c>
    </row>
    <row r="13" spans="2:17" ht="15.75">
      <c r="B13" s="70">
        <v>8</v>
      </c>
      <c r="C13" s="83" t="s">
        <v>64</v>
      </c>
      <c r="D13" s="83">
        <f>75+122+479+9</f>
        <v>685</v>
      </c>
      <c r="E13" s="79">
        <f>SUM(254+59+6)</f>
        <v>319</v>
      </c>
      <c r="F13" s="79">
        <f>SUM(67+17+1)</f>
        <v>85</v>
      </c>
      <c r="G13" s="79">
        <v>7</v>
      </c>
      <c r="H13" s="69">
        <f>E13+F13+G13+1</f>
        <v>412</v>
      </c>
      <c r="I13" s="83">
        <f>19+133+735+29</f>
        <v>916</v>
      </c>
      <c r="J13" s="80">
        <f>((H13-D13)/D13)*100</f>
        <v>-39.85401459854015</v>
      </c>
      <c r="K13" s="85">
        <f>5+25+15+13</f>
        <v>58</v>
      </c>
      <c r="L13" s="79">
        <f>SUM(120,73,2)</f>
        <v>195</v>
      </c>
      <c r="M13" s="79">
        <f>SUM(20+8)</f>
        <v>28</v>
      </c>
      <c r="N13" s="79">
        <v>8</v>
      </c>
      <c r="O13" s="85">
        <f>E13+F13+G13</f>
        <v>411</v>
      </c>
      <c r="P13" s="88">
        <f>120+73+2+20+8+8</f>
        <v>231</v>
      </c>
      <c r="Q13" s="89">
        <f>((O13-K13)/K13)*100</f>
        <v>608.6206896551724</v>
      </c>
    </row>
    <row r="14" spans="2:17" ht="15.75">
      <c r="B14" s="70">
        <v>9</v>
      </c>
      <c r="C14" s="83" t="s">
        <v>63</v>
      </c>
      <c r="D14" s="83">
        <f>53+253+411+11</f>
        <v>728</v>
      </c>
      <c r="E14" s="79">
        <f>SUM(205+5+24)</f>
        <v>234</v>
      </c>
      <c r="F14" s="79">
        <f>SUM(45+1+20)</f>
        <v>66</v>
      </c>
      <c r="G14" s="79">
        <f>SUM(65+3)</f>
        <v>68</v>
      </c>
      <c r="H14" s="69">
        <f>E14+F14+G14+1</f>
        <v>369</v>
      </c>
      <c r="I14" s="83">
        <f>10+27+875</f>
        <v>912</v>
      </c>
      <c r="J14" s="80">
        <f>((H14-D14)/D14)*100</f>
        <v>-49.31318681318682</v>
      </c>
      <c r="K14" s="85">
        <f>8+67+37+18</f>
        <v>130</v>
      </c>
      <c r="L14" s="79">
        <f>SUM(170,4,15)</f>
        <v>189</v>
      </c>
      <c r="M14" s="79">
        <f>SUM(34+7)</f>
        <v>41</v>
      </c>
      <c r="N14" s="79">
        <f>SUM(56+3)</f>
        <v>59</v>
      </c>
      <c r="O14" s="85">
        <f>E14+F14+G14+1</f>
        <v>369</v>
      </c>
      <c r="P14" s="88">
        <f>170+4+15+34+7+56+3+1</f>
        <v>290</v>
      </c>
      <c r="Q14" s="89">
        <f>((O14-K14)/K14)*100</f>
        <v>183.84615384615384</v>
      </c>
    </row>
    <row r="15" spans="2:17" ht="15.75">
      <c r="B15" s="70">
        <v>10</v>
      </c>
      <c r="C15" s="83" t="s">
        <v>62</v>
      </c>
      <c r="D15" s="83">
        <f>267+214+176+10</f>
        <v>667</v>
      </c>
      <c r="E15" s="79">
        <f>SUM(152+62+199)</f>
        <v>413</v>
      </c>
      <c r="F15" s="79">
        <f>SUM(21+1+27)</f>
        <v>49</v>
      </c>
      <c r="G15" s="79">
        <f>SUM(13+11+7)</f>
        <v>31</v>
      </c>
      <c r="H15" s="69">
        <f>E15+F15+G15+117</f>
        <v>610</v>
      </c>
      <c r="I15" s="83">
        <f>32+78+713+57</f>
        <v>880</v>
      </c>
      <c r="J15" s="80">
        <f>((H15-D15)/D15)*100</f>
        <v>-8.545727136431784</v>
      </c>
      <c r="K15" s="85">
        <f>4+13+12+9</f>
        <v>38</v>
      </c>
      <c r="L15" s="79">
        <f>SUM(48,70,225)</f>
        <v>343</v>
      </c>
      <c r="M15" s="79">
        <v>25</v>
      </c>
      <c r="N15" s="79">
        <f>SUM(10+12+8)</f>
        <v>30</v>
      </c>
      <c r="O15" s="85">
        <f>E15+F15+G15+14</f>
        <v>507</v>
      </c>
      <c r="P15" s="88">
        <f>48+70+225+5+20+10+12+8+132</f>
        <v>530</v>
      </c>
      <c r="Q15" s="89">
        <f>((O15-K15)/K15)*100</f>
        <v>1234.2105263157896</v>
      </c>
    </row>
    <row r="16" spans="2:17" ht="15.75">
      <c r="B16" s="70">
        <v>11</v>
      </c>
      <c r="C16" s="83" t="s">
        <v>61</v>
      </c>
      <c r="D16" s="85" t="s">
        <v>79</v>
      </c>
      <c r="E16" s="79">
        <f>SUM(101+5+2)</f>
        <v>108</v>
      </c>
      <c r="F16" s="79">
        <f>SUM(85+1+4)</f>
        <v>90</v>
      </c>
      <c r="G16" s="79">
        <f>SUM(33+2+3)</f>
        <v>38</v>
      </c>
      <c r="H16" s="69">
        <f>E16+F16+G16+8</f>
        <v>244</v>
      </c>
      <c r="I16" s="83">
        <f>9+31+706+4</f>
        <v>750</v>
      </c>
      <c r="J16" s="81" t="s">
        <v>79</v>
      </c>
      <c r="K16" s="85" t="s">
        <v>79</v>
      </c>
      <c r="L16" s="79">
        <f>SUM(32,3)</f>
        <v>35</v>
      </c>
      <c r="M16" s="79">
        <v>60</v>
      </c>
      <c r="N16" s="79">
        <f>SUM(24+2)</f>
        <v>26</v>
      </c>
      <c r="O16" s="85">
        <f>E16+F16+G16+10</f>
        <v>246</v>
      </c>
      <c r="P16" s="88">
        <f>32+3+59+1+24+2+10</f>
        <v>131</v>
      </c>
      <c r="Q16" s="90" t="s">
        <v>79</v>
      </c>
    </row>
    <row r="17" spans="2:17" ht="15.75">
      <c r="B17" s="70">
        <v>12</v>
      </c>
      <c r="C17" s="83" t="s">
        <v>60</v>
      </c>
      <c r="D17" s="83">
        <f>21+263+319+45</f>
        <v>648</v>
      </c>
      <c r="E17" s="79">
        <f>SUM(173+11+8)</f>
        <v>192</v>
      </c>
      <c r="F17" s="79">
        <f>SUM(55+18+5)</f>
        <v>78</v>
      </c>
      <c r="G17" s="79">
        <f>SUM(10+4+2)</f>
        <v>16</v>
      </c>
      <c r="H17" s="69">
        <f>E17+F17+G17+2</f>
        <v>288</v>
      </c>
      <c r="I17" s="83">
        <f>11+136+728+4</f>
        <v>879</v>
      </c>
      <c r="J17" s="80">
        <f aca="true" t="shared" si="0" ref="J17:J31">((H17-D17)/D17)*100</f>
        <v>-55.55555555555556</v>
      </c>
      <c r="K17" s="85">
        <f>62+15+31</f>
        <v>108</v>
      </c>
      <c r="L17" s="79">
        <f>SUM(51,12,6)</f>
        <v>69</v>
      </c>
      <c r="M17" s="79">
        <f>SUM(12+6)</f>
        <v>18</v>
      </c>
      <c r="N17" s="79">
        <f>SUM(3+4)</f>
        <v>7</v>
      </c>
      <c r="O17" s="85">
        <f>E17+F17+G17+1</f>
        <v>287</v>
      </c>
      <c r="P17" s="88">
        <f>51+12+6+12+6+0+3+4+1</f>
        <v>95</v>
      </c>
      <c r="Q17" s="89">
        <f aca="true" t="shared" si="1" ref="Q17:Q31">((O17-K17)/K17)*100</f>
        <v>165.74074074074073</v>
      </c>
    </row>
    <row r="18" spans="2:17" ht="15.75">
      <c r="B18" s="70">
        <v>13</v>
      </c>
      <c r="C18" s="83" t="s">
        <v>59</v>
      </c>
      <c r="D18" s="83">
        <f>2+442+64+332</f>
        <v>840</v>
      </c>
      <c r="E18" s="79">
        <f>SUM(254+57+2)</f>
        <v>313</v>
      </c>
      <c r="F18" s="79">
        <f>SUM(27+31)</f>
        <v>58</v>
      </c>
      <c r="G18" s="79">
        <f>SUM(3+12)</f>
        <v>15</v>
      </c>
      <c r="H18" s="69">
        <f>E18+F18+G18+9</f>
        <v>395</v>
      </c>
      <c r="I18" s="83">
        <f>1+466+506+2</f>
        <v>975</v>
      </c>
      <c r="J18" s="80">
        <f t="shared" si="0"/>
        <v>-52.976190476190474</v>
      </c>
      <c r="K18" s="85">
        <f>2+263+11+390</f>
        <v>666</v>
      </c>
      <c r="L18" s="79">
        <f>SUM(191,63,3)</f>
        <v>257</v>
      </c>
      <c r="M18" s="79">
        <f>SUM(19+21)</f>
        <v>40</v>
      </c>
      <c r="N18" s="79">
        <f>SUM(3+15)</f>
        <v>18</v>
      </c>
      <c r="O18" s="85">
        <f>E18+F18+G18+9</f>
        <v>395</v>
      </c>
      <c r="P18" s="88">
        <f>191+63+3+19+21+3+15+9</f>
        <v>324</v>
      </c>
      <c r="Q18" s="89">
        <f t="shared" si="1"/>
        <v>-40.69069069069069</v>
      </c>
    </row>
    <row r="19" spans="2:17" ht="15.75">
      <c r="B19" s="70">
        <v>14</v>
      </c>
      <c r="C19" s="83" t="s">
        <v>58</v>
      </c>
      <c r="D19" s="83">
        <f>99+298+165+4</f>
        <v>566</v>
      </c>
      <c r="E19" s="79">
        <f>SUM(128+25+19)</f>
        <v>172</v>
      </c>
      <c r="F19" s="79">
        <f>SUM(38,5,4)</f>
        <v>47</v>
      </c>
      <c r="G19" s="79">
        <f>SUM(12+1+2)</f>
        <v>15</v>
      </c>
      <c r="H19" s="69">
        <f>E19+F19+G19</f>
        <v>234</v>
      </c>
      <c r="I19" s="83">
        <f>14+64+662+3</f>
        <v>743</v>
      </c>
      <c r="J19" s="80">
        <f t="shared" si="0"/>
        <v>-58.657243816254415</v>
      </c>
      <c r="K19" s="85">
        <f>5+13+2+2</f>
        <v>22</v>
      </c>
      <c r="L19" s="79">
        <f>SUM(34,11,2)</f>
        <v>47</v>
      </c>
      <c r="M19" s="79">
        <v>12</v>
      </c>
      <c r="N19" s="79">
        <f>SUM(8+2)</f>
        <v>10</v>
      </c>
      <c r="O19" s="85">
        <f>E19+F19+G19</f>
        <v>234</v>
      </c>
      <c r="P19" s="88">
        <f>34+11+2+9+2+1+8+2</f>
        <v>69</v>
      </c>
      <c r="Q19" s="89">
        <f t="shared" si="1"/>
        <v>963.6363636363636</v>
      </c>
    </row>
    <row r="20" spans="2:17" ht="15.75">
      <c r="B20" s="70">
        <v>15</v>
      </c>
      <c r="C20" s="83" t="s">
        <v>80</v>
      </c>
      <c r="D20" s="83">
        <f>29+260+473+5</f>
        <v>767</v>
      </c>
      <c r="E20" s="79">
        <f>SUM(238+9+2)</f>
        <v>249</v>
      </c>
      <c r="F20" s="79">
        <f>SUM(71+1+3)</f>
        <v>75</v>
      </c>
      <c r="G20" s="79">
        <f>SUM(123+1+1)</f>
        <v>125</v>
      </c>
      <c r="H20" s="69">
        <f>E20+F20+G20+2</f>
        <v>451</v>
      </c>
      <c r="I20" s="83">
        <f>14+19+894+9</f>
        <v>936</v>
      </c>
      <c r="J20" s="80">
        <f t="shared" si="0"/>
        <v>-41.19947848761408</v>
      </c>
      <c r="K20" s="85">
        <f>19+51+1+3</f>
        <v>74</v>
      </c>
      <c r="L20" s="79">
        <f>SUM(102,11,1)</f>
        <v>114</v>
      </c>
      <c r="M20" s="79">
        <v>20</v>
      </c>
      <c r="N20" s="79">
        <f>SUM(20+2)</f>
        <v>22</v>
      </c>
      <c r="O20" s="85">
        <f>E20+F20+G20+1</f>
        <v>450</v>
      </c>
      <c r="P20" s="88">
        <f>102+11+1+20+20+2+1</f>
        <v>157</v>
      </c>
      <c r="Q20" s="89">
        <f t="shared" si="1"/>
        <v>508.10810810810807</v>
      </c>
    </row>
    <row r="21" spans="2:17" ht="15.75">
      <c r="B21" s="70">
        <v>16</v>
      </c>
      <c r="C21" s="83" t="s">
        <v>56</v>
      </c>
      <c r="D21" s="83">
        <f>111+130+2+707</f>
        <v>950</v>
      </c>
      <c r="E21" s="79">
        <f>SUM(159+40+142)</f>
        <v>341</v>
      </c>
      <c r="F21" s="79">
        <f>SUM(62+47+30)</f>
        <v>139</v>
      </c>
      <c r="G21" s="79">
        <f>SUM(24+5+1)</f>
        <v>30</v>
      </c>
      <c r="H21" s="69">
        <f>E21+F21+G21+83</f>
        <v>593</v>
      </c>
      <c r="I21" s="83">
        <f>93+311+516+80</f>
        <v>1000</v>
      </c>
      <c r="J21" s="80">
        <f t="shared" si="0"/>
        <v>-37.57894736842105</v>
      </c>
      <c r="K21" s="85">
        <f>161+4+23+662</f>
        <v>850</v>
      </c>
      <c r="L21" s="79">
        <f>SUM(105,45,123)</f>
        <v>273</v>
      </c>
      <c r="M21" s="79">
        <f>SUM(38+52+17)</f>
        <v>107</v>
      </c>
      <c r="N21" s="79">
        <f>SUM(28+6+1)</f>
        <v>35</v>
      </c>
      <c r="O21" s="85">
        <f>E21+F21+G21+109</f>
        <v>619</v>
      </c>
      <c r="P21" s="88">
        <f>105+45+123+38+52+17+28+6+1+109</f>
        <v>524</v>
      </c>
      <c r="Q21" s="89">
        <f t="shared" si="1"/>
        <v>-27.176470588235297</v>
      </c>
    </row>
    <row r="22" spans="2:17" ht="15.75">
      <c r="B22" s="70">
        <v>17</v>
      </c>
      <c r="C22" s="83" t="s">
        <v>55</v>
      </c>
      <c r="D22" s="83">
        <f>179+545+65+199</f>
        <v>988</v>
      </c>
      <c r="E22" s="79">
        <f>SUM(86+38+19)</f>
        <v>143</v>
      </c>
      <c r="F22" s="79">
        <f>SUM(69+13+2)</f>
        <v>84</v>
      </c>
      <c r="G22" s="79">
        <f>SUM(5+48+1)</f>
        <v>54</v>
      </c>
      <c r="H22" s="69">
        <f>E22+F22+G22+99</f>
        <v>380</v>
      </c>
      <c r="I22" s="83">
        <f>51+153+791+3</f>
        <v>998</v>
      </c>
      <c r="J22" s="80">
        <f t="shared" si="0"/>
        <v>-61.53846153846154</v>
      </c>
      <c r="K22" s="85">
        <f>4+31+409</f>
        <v>444</v>
      </c>
      <c r="L22" s="79">
        <f>SUM(26,45,21)</f>
        <v>92</v>
      </c>
      <c r="M22" s="79">
        <v>13</v>
      </c>
      <c r="N22" s="79">
        <f>SUM(4+56+1)</f>
        <v>61</v>
      </c>
      <c r="O22" s="85">
        <f>E22+F22+G22+106</f>
        <v>387</v>
      </c>
      <c r="P22" s="88">
        <f>26+45+21+6+7+4+56+1+106</f>
        <v>272</v>
      </c>
      <c r="Q22" s="89">
        <f t="shared" si="1"/>
        <v>-12.837837837837837</v>
      </c>
    </row>
    <row r="23" spans="2:17" ht="15.75">
      <c r="B23" s="70">
        <v>18</v>
      </c>
      <c r="C23" s="83" t="s">
        <v>54</v>
      </c>
      <c r="D23" s="83">
        <f>1+208+3+784</f>
        <v>996</v>
      </c>
      <c r="E23" s="79">
        <f>SUM(301+54+67)</f>
        <v>422</v>
      </c>
      <c r="F23" s="79">
        <f>SUM(27+10)</f>
        <v>37</v>
      </c>
      <c r="G23" s="79">
        <f>SUM(5+14+1)</f>
        <v>20</v>
      </c>
      <c r="H23" s="69">
        <f>E23+F23+G23+14</f>
        <v>493</v>
      </c>
      <c r="I23" s="83">
        <f>2+167+823+9</f>
        <v>1001</v>
      </c>
      <c r="J23" s="80">
        <f t="shared" si="0"/>
        <v>-50.50200803212851</v>
      </c>
      <c r="K23" s="85">
        <f>146+28+3+803</f>
        <v>980</v>
      </c>
      <c r="L23" s="79">
        <f>SUM(156,70,66)</f>
        <v>292</v>
      </c>
      <c r="M23" s="79">
        <v>9</v>
      </c>
      <c r="N23" s="79">
        <v>6</v>
      </c>
      <c r="O23" s="85">
        <f>E23+F23+G23+25</f>
        <v>504</v>
      </c>
      <c r="P23" s="88">
        <f>156+70+66+1+8+6+25</f>
        <v>332</v>
      </c>
      <c r="Q23" s="89">
        <f t="shared" si="1"/>
        <v>-48.57142857142857</v>
      </c>
    </row>
    <row r="24" spans="2:17" ht="15.75">
      <c r="B24" s="70">
        <v>19</v>
      </c>
      <c r="C24" s="83" t="s">
        <v>53</v>
      </c>
      <c r="D24" s="83">
        <f>282+389+57+263</f>
        <v>991</v>
      </c>
      <c r="E24" s="79">
        <f>SUM(414+31+69)</f>
        <v>514</v>
      </c>
      <c r="F24" s="79">
        <f>SUM(60+50+2)</f>
        <v>112</v>
      </c>
      <c r="G24" s="79">
        <f>SUM(13+5)</f>
        <v>18</v>
      </c>
      <c r="H24" s="69">
        <f>E24+F24+G24+43</f>
        <v>687</v>
      </c>
      <c r="I24" s="83">
        <f>15+175+701+63</f>
        <v>954</v>
      </c>
      <c r="J24" s="80">
        <f t="shared" si="0"/>
        <v>-30.67608476286579</v>
      </c>
      <c r="K24" s="85">
        <f>299+80+1+608</f>
        <v>988</v>
      </c>
      <c r="L24" s="79">
        <f>SUM(324,39,85)</f>
        <v>448</v>
      </c>
      <c r="M24" s="79">
        <f>SUM(19+52+4)</f>
        <v>75</v>
      </c>
      <c r="N24" s="79">
        <f>SUM(18+6)</f>
        <v>24</v>
      </c>
      <c r="O24" s="85">
        <f>E24+F24+G24+57</f>
        <v>701</v>
      </c>
      <c r="P24" s="88">
        <f>324+39+85+19+52+4+18+6+57</f>
        <v>604</v>
      </c>
      <c r="Q24" s="89">
        <f t="shared" si="1"/>
        <v>-29.048582995951417</v>
      </c>
    </row>
    <row r="25" spans="2:17" ht="15.75">
      <c r="B25" s="70">
        <v>20</v>
      </c>
      <c r="C25" s="83" t="s">
        <v>52</v>
      </c>
      <c r="D25" s="83">
        <f>58+305+64+19</f>
        <v>446</v>
      </c>
      <c r="E25" s="79">
        <f>SUM(92+15+4)</f>
        <v>111</v>
      </c>
      <c r="F25" s="79">
        <f>SUM(26+1+1)</f>
        <v>28</v>
      </c>
      <c r="G25" s="79">
        <f>SUM(17+37)</f>
        <v>54</v>
      </c>
      <c r="H25" s="69">
        <f>E25+F25+G25+8</f>
        <v>201</v>
      </c>
      <c r="I25" s="83">
        <f>36+73+562+11</f>
        <v>682</v>
      </c>
      <c r="J25" s="80">
        <f t="shared" si="0"/>
        <v>-54.932735426008975</v>
      </c>
      <c r="K25" s="85">
        <f>3+14+6</f>
        <v>23</v>
      </c>
      <c r="L25" s="79">
        <f>SUM(39,14,3)</f>
        <v>56</v>
      </c>
      <c r="M25" s="79">
        <v>5</v>
      </c>
      <c r="N25" s="79">
        <f>SUM(9+44)</f>
        <v>53</v>
      </c>
      <c r="O25" s="85">
        <f>E25+F25+G25+2</f>
        <v>195</v>
      </c>
      <c r="P25" s="88">
        <f>39+14+3+4+1+9+44+2</f>
        <v>116</v>
      </c>
      <c r="Q25" s="89">
        <f t="shared" si="1"/>
        <v>747.8260869565217</v>
      </c>
    </row>
    <row r="26" spans="2:17" ht="15.75">
      <c r="B26" s="70">
        <v>21</v>
      </c>
      <c r="C26" s="83" t="s">
        <v>51</v>
      </c>
      <c r="D26" s="83">
        <f>71+97+594+27</f>
        <v>789</v>
      </c>
      <c r="E26" s="79">
        <f>SUM(301+18+16)</f>
        <v>335</v>
      </c>
      <c r="F26" s="79">
        <f>SUM(87+26+2)</f>
        <v>115</v>
      </c>
      <c r="G26" s="79">
        <f>SUM(9+2)</f>
        <v>11</v>
      </c>
      <c r="H26" s="69">
        <f>E26+F26+G26</f>
        <v>461</v>
      </c>
      <c r="I26" s="83">
        <f>23+78+841+6</f>
        <v>948</v>
      </c>
      <c r="J26" s="80">
        <f t="shared" si="0"/>
        <v>-41.57160963244613</v>
      </c>
      <c r="K26" s="85">
        <f>10+157+22+17</f>
        <v>206</v>
      </c>
      <c r="L26" s="79">
        <f>SUM(180,24)</f>
        <v>204</v>
      </c>
      <c r="M26" s="79">
        <f>SUM(19+26)</f>
        <v>45</v>
      </c>
      <c r="N26" s="79">
        <f>SUM(13+3+1)</f>
        <v>17</v>
      </c>
      <c r="O26" s="85">
        <f>E26+F26+G26</f>
        <v>461</v>
      </c>
      <c r="P26" s="88">
        <f>180+24+19+26+13+3+1</f>
        <v>266</v>
      </c>
      <c r="Q26" s="89">
        <f t="shared" si="1"/>
        <v>123.78640776699028</v>
      </c>
    </row>
    <row r="27" spans="2:17" ht="15.75">
      <c r="B27" s="70">
        <v>22</v>
      </c>
      <c r="C27" s="83" t="s">
        <v>50</v>
      </c>
      <c r="D27" s="83">
        <f>73+310+195+46</f>
        <v>624</v>
      </c>
      <c r="E27" s="79">
        <f>SUM(148+45+10)</f>
        <v>203</v>
      </c>
      <c r="F27" s="79">
        <f>SUM(39+21+4)</f>
        <v>64</v>
      </c>
      <c r="G27" s="79">
        <f>SUM(7+1+1)</f>
        <v>9</v>
      </c>
      <c r="H27" s="69">
        <f>E27+F27+G27+3</f>
        <v>279</v>
      </c>
      <c r="I27" s="83">
        <f>8+148+703+15</f>
        <v>874</v>
      </c>
      <c r="J27" s="80">
        <f t="shared" si="0"/>
        <v>-55.28846153846154</v>
      </c>
      <c r="K27" s="85">
        <f>13+34+10+32</f>
        <v>89</v>
      </c>
      <c r="L27" s="79">
        <f>SUM(44,49,6)</f>
        <v>99</v>
      </c>
      <c r="M27" s="79">
        <f>SUM(4+13+2)</f>
        <v>19</v>
      </c>
      <c r="N27" s="79">
        <f>SUM(4+1)</f>
        <v>5</v>
      </c>
      <c r="O27" s="85">
        <f>E27+F27+G27+2</f>
        <v>278</v>
      </c>
      <c r="P27" s="88">
        <f>44+49+6+4+13+2+4+1</f>
        <v>123</v>
      </c>
      <c r="Q27" s="89">
        <f t="shared" si="1"/>
        <v>212.35955056179776</v>
      </c>
    </row>
    <row r="28" spans="2:17" ht="15.75">
      <c r="B28" s="70">
        <v>23</v>
      </c>
      <c r="C28" s="83" t="s">
        <v>49</v>
      </c>
      <c r="D28" s="83">
        <f>284+470+44+117</f>
        <v>915</v>
      </c>
      <c r="E28" s="79">
        <f>SUM(342+32+2)</f>
        <v>376</v>
      </c>
      <c r="F28" s="79">
        <f>SUM(182+19)</f>
        <v>201</v>
      </c>
      <c r="G28" s="79">
        <f>SUM(9+8)</f>
        <v>17</v>
      </c>
      <c r="H28" s="69">
        <f>E28+F28+G28+19</f>
        <v>613</v>
      </c>
      <c r="I28" s="83">
        <f>0+11+989+0</f>
        <v>1000</v>
      </c>
      <c r="J28" s="80">
        <f t="shared" si="0"/>
        <v>-33.005464480874316</v>
      </c>
      <c r="K28" s="85">
        <f>25+194+30+363</f>
        <v>612</v>
      </c>
      <c r="L28" s="79">
        <f>SUM(323,36,3)</f>
        <v>362</v>
      </c>
      <c r="M28" s="79">
        <f>SUM(138+22)</f>
        <v>160</v>
      </c>
      <c r="N28" s="79">
        <f>SUM(10+10)</f>
        <v>20</v>
      </c>
      <c r="O28" s="85">
        <f>E28+F28+G28+22</f>
        <v>616</v>
      </c>
      <c r="P28" s="88">
        <f>1+281+689+5</f>
        <v>976</v>
      </c>
      <c r="Q28" s="89">
        <f t="shared" si="1"/>
        <v>0.6535947712418301</v>
      </c>
    </row>
    <row r="29" spans="2:17" ht="15.75">
      <c r="B29" s="70">
        <v>24</v>
      </c>
      <c r="C29" s="83" t="s">
        <v>48</v>
      </c>
      <c r="D29" s="83">
        <f>64+329+237+9</f>
        <v>639</v>
      </c>
      <c r="E29" s="79">
        <f>SUM(244+4+7)</f>
        <v>255</v>
      </c>
      <c r="F29" s="79">
        <f>SUM(92+2+4)</f>
        <v>98</v>
      </c>
      <c r="G29" s="79">
        <f>SUM(24+5)</f>
        <v>29</v>
      </c>
      <c r="H29" s="69">
        <f>E29+F29+G29+2</f>
        <v>384</v>
      </c>
      <c r="I29" s="83">
        <f>13+8+791+3</f>
        <v>815</v>
      </c>
      <c r="J29" s="80">
        <f t="shared" si="0"/>
        <v>-39.906103286384976</v>
      </c>
      <c r="K29" s="85">
        <f>9+64+3+7</f>
        <v>83</v>
      </c>
      <c r="L29" s="79">
        <f>SUM(121,5,5)</f>
        <v>131</v>
      </c>
      <c r="M29" s="79">
        <f>SUM(13+3+2)</f>
        <v>18</v>
      </c>
      <c r="N29" s="79">
        <f>SUM(12+5)</f>
        <v>17</v>
      </c>
      <c r="O29" s="85">
        <f>E29+F29+G29</f>
        <v>382</v>
      </c>
      <c r="P29" s="88">
        <f>5+15+237</f>
        <v>257</v>
      </c>
      <c r="Q29" s="89">
        <f t="shared" si="1"/>
        <v>360.2409638554217</v>
      </c>
    </row>
    <row r="30" spans="2:17" ht="15.75">
      <c r="B30" s="70">
        <v>25</v>
      </c>
      <c r="C30" s="83" t="s">
        <v>47</v>
      </c>
      <c r="D30" s="83">
        <f>79+493+6+416</f>
        <v>994</v>
      </c>
      <c r="E30" s="79">
        <f>SUM(56+72+37)</f>
        <v>165</v>
      </c>
      <c r="F30" s="79">
        <f>SUM(25+55+13)</f>
        <v>93</v>
      </c>
      <c r="G30" s="79">
        <v>3</v>
      </c>
      <c r="H30" s="69">
        <f>E30+F30+G30+39</f>
        <v>300</v>
      </c>
      <c r="I30" s="83">
        <f>0+457+486+48</f>
        <v>991</v>
      </c>
      <c r="J30" s="80">
        <f t="shared" si="0"/>
        <v>-69.81891348088531</v>
      </c>
      <c r="K30" s="85">
        <f>140+30+763</f>
        <v>933</v>
      </c>
      <c r="L30" s="79">
        <f>SUM(24,77,40)</f>
        <v>141</v>
      </c>
      <c r="M30" s="79">
        <f>SUM(5+48+2)</f>
        <v>55</v>
      </c>
      <c r="N30" s="79">
        <v>1</v>
      </c>
      <c r="O30" s="85">
        <f>E30+F30+G30+43</f>
        <v>304</v>
      </c>
      <c r="P30" s="88">
        <f>9+769+52+132</f>
        <v>962</v>
      </c>
      <c r="Q30" s="89">
        <f t="shared" si="1"/>
        <v>-67.41693461950696</v>
      </c>
    </row>
    <row r="31" spans="2:17" ht="15.75">
      <c r="B31" s="70">
        <v>26</v>
      </c>
      <c r="C31" s="83" t="s">
        <v>46</v>
      </c>
      <c r="D31" s="83">
        <f>235+140+291+8</f>
        <v>674</v>
      </c>
      <c r="E31" s="79">
        <f>SUM(154+17+39)</f>
        <v>210</v>
      </c>
      <c r="F31" s="79">
        <f>SUM(33+5+8)</f>
        <v>46</v>
      </c>
      <c r="G31" s="79">
        <f>SUM(16+2+3)</f>
        <v>21</v>
      </c>
      <c r="H31" s="69">
        <f>E31+F31+G31+2</f>
        <v>279</v>
      </c>
      <c r="I31" s="83">
        <f>44+65+728+16</f>
        <v>853</v>
      </c>
      <c r="J31" s="80">
        <f t="shared" si="0"/>
        <v>-58.6053412462908</v>
      </c>
      <c r="K31" s="85">
        <f>43+29+10+4</f>
        <v>86</v>
      </c>
      <c r="L31" s="79">
        <f>SUM(52,15,25)</f>
        <v>92</v>
      </c>
      <c r="M31" s="79">
        <f>SUM(10+3+4)</f>
        <v>17</v>
      </c>
      <c r="N31" s="79">
        <f>SUM(7+2+3)</f>
        <v>12</v>
      </c>
      <c r="O31" s="85">
        <f>E31+F31+G31</f>
        <v>277</v>
      </c>
      <c r="P31" s="88">
        <f>15+59+126+5</f>
        <v>205</v>
      </c>
      <c r="Q31" s="89">
        <f t="shared" si="1"/>
        <v>222.09302325581396</v>
      </c>
    </row>
    <row r="32" spans="2:17" ht="15.75">
      <c r="B32" s="70">
        <v>27</v>
      </c>
      <c r="C32" s="83" t="s">
        <v>45</v>
      </c>
      <c r="D32" s="85" t="s">
        <v>79</v>
      </c>
      <c r="E32" s="79">
        <f>SUM(302+62+3)</f>
        <v>367</v>
      </c>
      <c r="F32" s="79">
        <f>SUM(63+12+7)</f>
        <v>82</v>
      </c>
      <c r="G32" s="79">
        <f>SUM(20+4)</f>
        <v>24</v>
      </c>
      <c r="H32" s="69">
        <f>E32+F32+G32+12</f>
        <v>485</v>
      </c>
      <c r="I32" s="83">
        <f>9+249+706</f>
        <v>964</v>
      </c>
      <c r="J32" s="81" t="s">
        <v>79</v>
      </c>
      <c r="K32" s="85" t="s">
        <v>79</v>
      </c>
      <c r="L32" s="79">
        <f>SUM(250,47,4)</f>
        <v>301</v>
      </c>
      <c r="M32" s="79">
        <f>SUM(37+6+2)</f>
        <v>45</v>
      </c>
      <c r="N32" s="79">
        <f>SUM(22+4)</f>
        <v>26</v>
      </c>
      <c r="O32" s="85">
        <f>E32+F32+G32+16</f>
        <v>489</v>
      </c>
      <c r="P32" s="88">
        <f>13+217+232+2</f>
        <v>464</v>
      </c>
      <c r="Q32" s="90" t="s">
        <v>79</v>
      </c>
    </row>
    <row r="33" spans="2:17" ht="15.75">
      <c r="B33" s="70">
        <v>28</v>
      </c>
      <c r="C33" s="83" t="s">
        <v>44</v>
      </c>
      <c r="D33" s="83">
        <f>56+541+114+75</f>
        <v>786</v>
      </c>
      <c r="E33" s="79">
        <f>SUM(168+10+22)</f>
        <v>200</v>
      </c>
      <c r="F33" s="79">
        <f>SUM(71+35+9)</f>
        <v>115</v>
      </c>
      <c r="G33" s="79">
        <f>SUM(24+6+2)</f>
        <v>32</v>
      </c>
      <c r="H33" s="69">
        <f>E33+F33+G33+23</f>
        <v>370</v>
      </c>
      <c r="I33" s="83">
        <f>22+165+734+11</f>
        <v>932</v>
      </c>
      <c r="J33" s="80">
        <f>((H33-D33)/D33)*100</f>
        <v>-52.926208651399484</v>
      </c>
      <c r="K33" s="85">
        <f>35+70+1+63</f>
        <v>169</v>
      </c>
      <c r="L33" s="79">
        <f>SUM(88,11,21)</f>
        <v>120</v>
      </c>
      <c r="M33" s="79">
        <f>SUM(16+23+2)</f>
        <v>41</v>
      </c>
      <c r="N33" s="79">
        <f>SUM(13+6+2)</f>
        <v>21</v>
      </c>
      <c r="O33" s="85">
        <f>E33+F33+G33+20</f>
        <v>367</v>
      </c>
      <c r="P33" s="88">
        <f>34+369+148+26</f>
        <v>577</v>
      </c>
      <c r="Q33" s="89">
        <f>((O33-K33)/K33)*100</f>
        <v>117.15976331360946</v>
      </c>
    </row>
    <row r="34" spans="2:17" ht="15.75">
      <c r="B34" s="70"/>
      <c r="C34" s="91" t="s">
        <v>42</v>
      </c>
      <c r="D34" s="83"/>
      <c r="E34" s="79"/>
      <c r="F34" s="79"/>
      <c r="G34" s="79"/>
      <c r="H34" s="69"/>
      <c r="I34" s="83"/>
      <c r="J34" s="80"/>
      <c r="K34" s="83"/>
      <c r="L34" s="79"/>
      <c r="M34" s="79"/>
      <c r="N34" s="79"/>
      <c r="O34" s="85"/>
      <c r="P34" s="88"/>
      <c r="Q34" s="89"/>
    </row>
    <row r="35" spans="2:17" ht="15.75">
      <c r="B35" s="70">
        <v>1</v>
      </c>
      <c r="C35" s="83" t="s">
        <v>41</v>
      </c>
      <c r="D35" s="83">
        <f>52+681+9+25</f>
        <v>767</v>
      </c>
      <c r="E35" s="79">
        <f>SUM(327+41+0)</f>
        <v>368</v>
      </c>
      <c r="F35" s="79">
        <v>81</v>
      </c>
      <c r="G35" s="79">
        <v>50</v>
      </c>
      <c r="H35" s="69">
        <f>E35+F35+G35</f>
        <v>499</v>
      </c>
      <c r="I35" s="83">
        <f>939</f>
        <v>939</v>
      </c>
      <c r="J35" s="80">
        <f aca="true" t="shared" si="2" ref="J35:J42">((H35-D35)/D35)*100</f>
        <v>-34.94132985658409</v>
      </c>
      <c r="K35" s="85">
        <f>20+193+109</f>
        <v>322</v>
      </c>
      <c r="L35" s="79">
        <f>SUM(226,61,0)</f>
        <v>287</v>
      </c>
      <c r="M35" s="79">
        <v>39</v>
      </c>
      <c r="N35" s="79">
        <f>SUM(0+0)</f>
        <v>0</v>
      </c>
      <c r="O35" s="85">
        <f aca="true" t="shared" si="3" ref="O35:O41">E35+F35+G35</f>
        <v>499</v>
      </c>
      <c r="P35" s="88">
        <f>124+475+2</f>
        <v>601</v>
      </c>
      <c r="Q35" s="89">
        <f aca="true" t="shared" si="4" ref="Q35:Q42">((O35-K35)/K35)*100</f>
        <v>54.96894409937888</v>
      </c>
    </row>
    <row r="36" spans="2:17" ht="15.75">
      <c r="B36" s="70">
        <v>2</v>
      </c>
      <c r="C36" s="83" t="s">
        <v>40</v>
      </c>
      <c r="D36" s="83">
        <f>2+882+3</f>
        <v>887</v>
      </c>
      <c r="E36" s="79">
        <f>SUM(442+0+10)</f>
        <v>452</v>
      </c>
      <c r="F36" s="79">
        <f>SUM(408+3)</f>
        <v>411</v>
      </c>
      <c r="G36" s="79">
        <f>SUM(63,8)</f>
        <v>71</v>
      </c>
      <c r="H36" s="69">
        <f>E36+F36+G36</f>
        <v>934</v>
      </c>
      <c r="I36" s="83">
        <f>994</f>
        <v>994</v>
      </c>
      <c r="J36" s="80">
        <f t="shared" si="2"/>
        <v>5.2987598647125145</v>
      </c>
      <c r="K36" s="85">
        <f>38+283</f>
        <v>321</v>
      </c>
      <c r="L36" s="79">
        <v>205</v>
      </c>
      <c r="M36" s="79">
        <f>SUM(419+36)</f>
        <v>455</v>
      </c>
      <c r="N36" s="79">
        <f>SUM(112+0+0)</f>
        <v>112</v>
      </c>
      <c r="O36" s="85">
        <f t="shared" si="3"/>
        <v>934</v>
      </c>
      <c r="P36" s="88">
        <f>900</f>
        <v>900</v>
      </c>
      <c r="Q36" s="89">
        <f t="shared" si="4"/>
        <v>190.96573208722742</v>
      </c>
    </row>
    <row r="37" spans="2:17" ht="15.75">
      <c r="B37" s="70">
        <v>3</v>
      </c>
      <c r="C37" s="83" t="s">
        <v>39</v>
      </c>
      <c r="D37" s="83">
        <f>42+271+380</f>
        <v>693</v>
      </c>
      <c r="E37" s="79">
        <f>SUM(239+22+2)</f>
        <v>263</v>
      </c>
      <c r="F37" s="79">
        <f>SUM(117+2+5)</f>
        <v>124</v>
      </c>
      <c r="G37" s="79">
        <v>4</v>
      </c>
      <c r="H37" s="69">
        <f>E37+F37+G37</f>
        <v>391</v>
      </c>
      <c r="I37" s="83">
        <f>61+871</f>
        <v>932</v>
      </c>
      <c r="J37" s="80">
        <f t="shared" si="2"/>
        <v>-43.57864357864358</v>
      </c>
      <c r="K37" s="85">
        <f>1+63+1</f>
        <v>65</v>
      </c>
      <c r="L37" s="79">
        <f>SUM(162,26)</f>
        <v>188</v>
      </c>
      <c r="M37" s="79">
        <f>SUM(94+6)</f>
        <v>100</v>
      </c>
      <c r="N37" s="79">
        <v>0</v>
      </c>
      <c r="O37" s="85">
        <f t="shared" si="3"/>
        <v>391</v>
      </c>
      <c r="P37" s="88">
        <f>144+322</f>
        <v>466</v>
      </c>
      <c r="Q37" s="89">
        <f t="shared" si="4"/>
        <v>501.53846153846155</v>
      </c>
    </row>
    <row r="38" spans="2:17" ht="15.75">
      <c r="B38" s="70">
        <v>4</v>
      </c>
      <c r="C38" s="83" t="s">
        <v>38</v>
      </c>
      <c r="D38" s="83">
        <f>216+427+6</f>
        <v>649</v>
      </c>
      <c r="E38" s="79">
        <f>SUM(397+0+7)</f>
        <v>404</v>
      </c>
      <c r="F38" s="79">
        <f>SUM(193)</f>
        <v>193</v>
      </c>
      <c r="G38" s="79">
        <f>SUM(162+4)</f>
        <v>166</v>
      </c>
      <c r="H38" s="69">
        <f>E38+F38+G38</f>
        <v>763</v>
      </c>
      <c r="I38" s="83">
        <f>70+867</f>
        <v>937</v>
      </c>
      <c r="J38" s="80">
        <f t="shared" si="2"/>
        <v>17.565485362095533</v>
      </c>
      <c r="K38" s="85">
        <v>260</v>
      </c>
      <c r="L38" s="79">
        <f>SUM(303,9)</f>
        <v>312</v>
      </c>
      <c r="M38" s="79">
        <v>232</v>
      </c>
      <c r="N38" s="79">
        <v>150</v>
      </c>
      <c r="O38" s="85">
        <f t="shared" si="3"/>
        <v>763</v>
      </c>
      <c r="P38" s="88">
        <f>20+579+84</f>
        <v>683</v>
      </c>
      <c r="Q38" s="89">
        <f t="shared" si="4"/>
        <v>193.46153846153845</v>
      </c>
    </row>
    <row r="39" spans="2:17" ht="15.75">
      <c r="B39" s="70">
        <v>5</v>
      </c>
      <c r="C39" s="83" t="s">
        <v>37</v>
      </c>
      <c r="D39" s="83">
        <f>111+85+492+16</f>
        <v>704</v>
      </c>
      <c r="E39" s="79">
        <f>SUM(474+28+31)</f>
        <v>533</v>
      </c>
      <c r="F39" s="79">
        <f>SUM(239+11+50)</f>
        <v>300</v>
      </c>
      <c r="G39" s="79">
        <f>SUM(48+14+23)</f>
        <v>85</v>
      </c>
      <c r="H39" s="69">
        <f>E39+F39+G39+18</f>
        <v>936</v>
      </c>
      <c r="I39" s="83">
        <f>12+32+928+9</f>
        <v>981</v>
      </c>
      <c r="J39" s="80">
        <f t="shared" si="2"/>
        <v>32.95454545454545</v>
      </c>
      <c r="K39" s="85">
        <f>3+507+52</f>
        <v>562</v>
      </c>
      <c r="L39" s="79">
        <f>SUM(416,78,15)</f>
        <v>509</v>
      </c>
      <c r="M39" s="79">
        <f>SUM(273+30+72)</f>
        <v>375</v>
      </c>
      <c r="N39" s="79">
        <v>60</v>
      </c>
      <c r="O39" s="85">
        <f t="shared" si="3"/>
        <v>918</v>
      </c>
      <c r="P39" s="88">
        <f>81+845</f>
        <v>926</v>
      </c>
      <c r="Q39" s="89">
        <f t="shared" si="4"/>
        <v>63.345195729537366</v>
      </c>
    </row>
    <row r="40" spans="2:17" ht="15.75">
      <c r="B40" s="70">
        <v>6</v>
      </c>
      <c r="C40" s="83" t="s">
        <v>36</v>
      </c>
      <c r="D40" s="83">
        <f>250+3+458</f>
        <v>711</v>
      </c>
      <c r="E40" s="79">
        <f>SUM(484+39+0)</f>
        <v>523</v>
      </c>
      <c r="F40" s="79">
        <f>SUM(44+3)</f>
        <v>47</v>
      </c>
      <c r="G40" s="79">
        <v>9</v>
      </c>
      <c r="H40" s="69">
        <f>E40+F40+G40</f>
        <v>579</v>
      </c>
      <c r="I40" s="83">
        <f>9+327+620+12</f>
        <v>968</v>
      </c>
      <c r="J40" s="80">
        <f t="shared" si="2"/>
        <v>-18.565400843881857</v>
      </c>
      <c r="K40" s="85">
        <f>174+744</f>
        <v>918</v>
      </c>
      <c r="L40" s="79">
        <f>SUM(194,67,0)</f>
        <v>261</v>
      </c>
      <c r="M40" s="79">
        <v>86</v>
      </c>
      <c r="N40" s="79">
        <v>0</v>
      </c>
      <c r="O40" s="85">
        <f t="shared" si="3"/>
        <v>579</v>
      </c>
      <c r="P40" s="88">
        <f>783+217</f>
        <v>1000</v>
      </c>
      <c r="Q40" s="89">
        <f t="shared" si="4"/>
        <v>-36.9281045751634</v>
      </c>
    </row>
    <row r="41" spans="2:17" ht="15.75">
      <c r="B41" s="70">
        <v>7</v>
      </c>
      <c r="C41" s="83" t="s">
        <v>35</v>
      </c>
      <c r="D41" s="83">
        <f>36+438+310+24</f>
        <v>808</v>
      </c>
      <c r="E41" s="79">
        <f>SUM(419+2+2)</f>
        <v>423</v>
      </c>
      <c r="F41" s="79">
        <f>SUM(123+10)</f>
        <v>133</v>
      </c>
      <c r="G41" s="79">
        <v>21</v>
      </c>
      <c r="H41" s="69">
        <f>E41+F41+G41</f>
        <v>577</v>
      </c>
      <c r="I41" s="83">
        <f>37+9+848+11</f>
        <v>905</v>
      </c>
      <c r="J41" s="80">
        <f t="shared" si="2"/>
        <v>-28.58910891089109</v>
      </c>
      <c r="K41" s="85">
        <f>27+63</f>
        <v>90</v>
      </c>
      <c r="L41" s="79">
        <f>SUM(154,0,0)</f>
        <v>154</v>
      </c>
      <c r="M41" s="79">
        <v>26</v>
      </c>
      <c r="N41" s="79">
        <v>0</v>
      </c>
      <c r="O41" s="85">
        <f t="shared" si="3"/>
        <v>577</v>
      </c>
      <c r="P41" s="88">
        <f>346</f>
        <v>346</v>
      </c>
      <c r="Q41" s="89">
        <f t="shared" si="4"/>
        <v>541.1111111111111</v>
      </c>
    </row>
    <row r="42" spans="2:17" ht="16.5" thickBot="1">
      <c r="B42" s="63"/>
      <c r="C42" s="92" t="s">
        <v>78</v>
      </c>
      <c r="D42" s="92">
        <f>74+296+285+38</f>
        <v>693</v>
      </c>
      <c r="E42" s="93">
        <f>SUM(195,66,15)</f>
        <v>276</v>
      </c>
      <c r="F42" s="93">
        <f>SUM(61,9,5)</f>
        <v>75</v>
      </c>
      <c r="G42" s="93">
        <f>SUM(29,3,6)</f>
        <v>38</v>
      </c>
      <c r="H42" s="94">
        <f>E42+F42+G42+14</f>
        <v>403</v>
      </c>
      <c r="I42" s="92">
        <f>16+80+773+10</f>
        <v>879</v>
      </c>
      <c r="J42" s="95">
        <f t="shared" si="2"/>
        <v>-41.84704184704185</v>
      </c>
      <c r="K42" s="96">
        <f>24+55+8+52</f>
        <v>139</v>
      </c>
      <c r="L42" s="93">
        <f>SUM(87,75,11)</f>
        <v>173</v>
      </c>
      <c r="M42" s="93">
        <f>(19+6+2)</f>
        <v>27</v>
      </c>
      <c r="N42" s="93">
        <f>(11+3+6)</f>
        <v>20</v>
      </c>
      <c r="O42" s="96">
        <f>E42+F42+G42+16</f>
        <v>405</v>
      </c>
      <c r="P42" s="97">
        <f>12+140+179+12</f>
        <v>343</v>
      </c>
      <c r="Q42" s="98">
        <f t="shared" si="4"/>
        <v>191.36690647482015</v>
      </c>
    </row>
    <row r="43" spans="2:17" ht="15.75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</row>
    <row r="44" spans="2:17" ht="15.75">
      <c r="B44" s="73" t="s">
        <v>77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61"/>
      <c r="N44" s="61"/>
      <c r="O44" s="61"/>
      <c r="P44" s="61"/>
      <c r="Q44" s="61"/>
    </row>
    <row r="45" spans="2:17" ht="15.75">
      <c r="B45" s="61" t="s">
        <v>76</v>
      </c>
      <c r="C45" s="61"/>
      <c r="D45" s="72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</row>
  </sheetData>
  <sheetProtection/>
  <mergeCells count="8">
    <mergeCell ref="B2:Q2"/>
    <mergeCell ref="B3:Q3"/>
    <mergeCell ref="B4:B5"/>
    <mergeCell ref="C4:C5"/>
    <mergeCell ref="D4:J4"/>
    <mergeCell ref="K4:Q4"/>
    <mergeCell ref="E5:H5"/>
    <mergeCell ref="L5:O5"/>
  </mergeCells>
  <printOptions/>
  <pageMargins left="0.9055118110236221" right="0.7480314960629921" top="0.8661417322834646" bottom="0.8267716535433072" header="0.5118110236220472" footer="0.5118110236220472"/>
  <pageSetup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81"/>
  <sheetViews>
    <sheetView showGridLines="0" zoomScalePageLayoutView="0" workbookViewId="0" topLeftCell="A1">
      <selection activeCell="P68" sqref="P68"/>
    </sheetView>
  </sheetViews>
  <sheetFormatPr defaultColWidth="9.140625" defaultRowHeight="15"/>
  <cols>
    <col min="1" max="1" width="7.8515625" style="60" customWidth="1"/>
    <col min="2" max="2" width="5.00390625" style="60" hidden="1" customWidth="1"/>
    <col min="3" max="3" width="19.140625" style="60" customWidth="1"/>
    <col min="4" max="6" width="11.7109375" style="60" customWidth="1"/>
    <col min="7" max="7" width="8.28125" style="60" hidden="1" customWidth="1"/>
    <col min="8" max="10" width="11.7109375" style="60" customWidth="1"/>
    <col min="11" max="11" width="8.57421875" style="60" hidden="1" customWidth="1"/>
    <col min="12" max="14" width="9.140625" style="60" hidden="1" customWidth="1"/>
    <col min="15" max="16384" width="9.140625" style="60" customWidth="1"/>
  </cols>
  <sheetData>
    <row r="1" ht="45.75" customHeight="1" thickBot="1"/>
    <row r="2" spans="1:15" ht="45" customHeight="1">
      <c r="A2" s="64"/>
      <c r="B2" s="191" t="s">
        <v>91</v>
      </c>
      <c r="C2" s="191"/>
      <c r="D2" s="191"/>
      <c r="E2" s="191"/>
      <c r="F2" s="191"/>
      <c r="G2" s="191"/>
      <c r="H2" s="191"/>
      <c r="I2" s="191"/>
      <c r="J2" s="191"/>
      <c r="K2" s="192"/>
      <c r="O2" s="132"/>
    </row>
    <row r="3" spans="1:15" ht="15.75">
      <c r="A3" s="64"/>
      <c r="B3" s="166" t="s">
        <v>74</v>
      </c>
      <c r="C3" s="176" t="s">
        <v>73</v>
      </c>
      <c r="D3" s="186" t="s">
        <v>3</v>
      </c>
      <c r="E3" s="186"/>
      <c r="F3" s="186"/>
      <c r="G3" s="186"/>
      <c r="H3" s="186" t="s">
        <v>4</v>
      </c>
      <c r="I3" s="186"/>
      <c r="J3" s="186"/>
      <c r="K3" s="195"/>
      <c r="L3" s="188" t="s">
        <v>88</v>
      </c>
      <c r="M3" s="188"/>
      <c r="N3" s="188"/>
      <c r="O3" s="132"/>
    </row>
    <row r="4" spans="1:19" ht="15.75">
      <c r="A4" s="64"/>
      <c r="B4" s="193"/>
      <c r="C4" s="194"/>
      <c r="D4" s="186" t="s">
        <v>87</v>
      </c>
      <c r="E4" s="186"/>
      <c r="F4" s="186"/>
      <c r="G4" s="193" t="s">
        <v>81</v>
      </c>
      <c r="H4" s="186" t="s">
        <v>87</v>
      </c>
      <c r="I4" s="186"/>
      <c r="J4" s="186"/>
      <c r="K4" s="196" t="s">
        <v>81</v>
      </c>
      <c r="L4" s="198" t="s">
        <v>87</v>
      </c>
      <c r="M4" s="199"/>
      <c r="N4" s="200" t="s">
        <v>81</v>
      </c>
      <c r="O4" s="132"/>
      <c r="S4" s="105"/>
    </row>
    <row r="5" spans="1:15" ht="16.5" thickBot="1">
      <c r="A5" s="64"/>
      <c r="B5" s="167"/>
      <c r="C5" s="194"/>
      <c r="D5" s="74">
        <v>1993</v>
      </c>
      <c r="E5" s="74">
        <v>2002</v>
      </c>
      <c r="F5" s="74">
        <v>2008</v>
      </c>
      <c r="G5" s="167"/>
      <c r="H5" s="74">
        <v>1993</v>
      </c>
      <c r="I5" s="75">
        <v>2002</v>
      </c>
      <c r="J5" s="75">
        <v>2008</v>
      </c>
      <c r="K5" s="197"/>
      <c r="L5" s="104">
        <v>1993</v>
      </c>
      <c r="M5" s="103">
        <v>2002</v>
      </c>
      <c r="N5" s="201"/>
      <c r="O5" s="132"/>
    </row>
    <row r="6" spans="1:15" ht="16.5" thickBot="1">
      <c r="A6" s="64"/>
      <c r="B6" s="107"/>
      <c r="C6" s="138" t="s">
        <v>71</v>
      </c>
      <c r="D6" s="130"/>
      <c r="E6" s="130"/>
      <c r="F6" s="130"/>
      <c r="G6" s="139"/>
      <c r="H6" s="130"/>
      <c r="I6" s="108"/>
      <c r="J6" s="78"/>
      <c r="K6" s="106"/>
      <c r="L6" s="136"/>
      <c r="M6" s="137"/>
      <c r="N6" s="136"/>
      <c r="O6" s="132"/>
    </row>
    <row r="7" spans="1:15" ht="16.5" thickBot="1">
      <c r="A7" s="64"/>
      <c r="B7" s="133">
        <v>1</v>
      </c>
      <c r="C7"/>
      <c r="D7" s="85">
        <f>SUM(38,36)*10</f>
        <v>740</v>
      </c>
      <c r="E7" s="79">
        <v>783</v>
      </c>
      <c r="F7" s="85">
        <v>754</v>
      </c>
      <c r="G7" s="101">
        <f>((E7-D7)/D7)*100</f>
        <v>5.810810810810811</v>
      </c>
      <c r="H7" s="79">
        <f>SUM(5,13)*10</f>
        <v>180</v>
      </c>
      <c r="I7" s="85">
        <v>543</v>
      </c>
      <c r="J7" s="79">
        <v>638</v>
      </c>
      <c r="K7" s="102">
        <f>((I7-H7)/H7)*100</f>
        <v>201.66666666666666</v>
      </c>
      <c r="M7" s="60">
        <v>612</v>
      </c>
      <c r="O7" s="132"/>
    </row>
    <row r="8" spans="1:15" ht="16.5" thickBot="1">
      <c r="A8" s="64"/>
      <c r="B8" s="134"/>
      <c r="C8" s="138" t="s">
        <v>70</v>
      </c>
      <c r="D8" s="85"/>
      <c r="E8" s="79"/>
      <c r="F8" s="85"/>
      <c r="G8" s="101"/>
      <c r="H8" s="79"/>
      <c r="I8" s="85"/>
      <c r="J8" s="79"/>
      <c r="K8" s="101"/>
      <c r="O8" s="132"/>
    </row>
    <row r="9" spans="1:15" ht="16.5" thickBot="1">
      <c r="A9" s="64"/>
      <c r="B9" s="134">
        <v>2</v>
      </c>
      <c r="C9"/>
      <c r="D9" s="85">
        <f>SUM(91,9)*10</f>
        <v>1000</v>
      </c>
      <c r="E9" s="79">
        <v>889</v>
      </c>
      <c r="F9" s="85">
        <v>872</v>
      </c>
      <c r="G9" s="101">
        <f>((E9-D9)/D9)*100</f>
        <v>-11.1</v>
      </c>
      <c r="H9" s="79">
        <f>SUM(39,27)*10</f>
        <v>660</v>
      </c>
      <c r="I9" s="85">
        <v>787</v>
      </c>
      <c r="J9" s="79">
        <v>798</v>
      </c>
      <c r="K9" s="101">
        <f>((I9-H9)/H9)*100</f>
        <v>19.242424242424242</v>
      </c>
      <c r="M9" s="60">
        <v>807</v>
      </c>
      <c r="O9" s="132"/>
    </row>
    <row r="10" spans="1:15" ht="16.5" thickBot="1">
      <c r="A10" s="64"/>
      <c r="B10" s="134"/>
      <c r="C10" s="138" t="s">
        <v>69</v>
      </c>
      <c r="D10" s="85"/>
      <c r="E10" s="79"/>
      <c r="F10" s="85"/>
      <c r="G10" s="101"/>
      <c r="H10" s="79"/>
      <c r="I10" s="85"/>
      <c r="J10" s="79"/>
      <c r="K10" s="101"/>
      <c r="O10" s="132"/>
    </row>
    <row r="11" spans="1:15" ht="16.5" thickBot="1">
      <c r="A11" s="64"/>
      <c r="B11" s="134">
        <v>3</v>
      </c>
      <c r="C11"/>
      <c r="D11" s="85">
        <f>SUM(36,8)*10</f>
        <v>440</v>
      </c>
      <c r="E11" s="79">
        <v>355</v>
      </c>
      <c r="F11" s="85">
        <v>366</v>
      </c>
      <c r="G11" s="101">
        <f>((E11-D11)/D11)*100</f>
        <v>-19.318181818181817</v>
      </c>
      <c r="H11" s="79">
        <f>SUM(3,6)*10</f>
        <v>90</v>
      </c>
      <c r="I11" s="85">
        <v>69</v>
      </c>
      <c r="J11" s="79">
        <v>63</v>
      </c>
      <c r="K11" s="101">
        <f>((I11-H11)/H11)*100</f>
        <v>-23.333333333333332</v>
      </c>
      <c r="M11" s="60">
        <v>96</v>
      </c>
      <c r="O11" s="132"/>
    </row>
    <row r="12" spans="1:15" ht="16.5" thickBot="1">
      <c r="A12" s="64"/>
      <c r="B12" s="134"/>
      <c r="C12" s="138" t="s">
        <v>68</v>
      </c>
      <c r="D12" s="85"/>
      <c r="E12" s="79"/>
      <c r="F12" s="85"/>
      <c r="G12" s="101"/>
      <c r="H12" s="79"/>
      <c r="I12" s="85"/>
      <c r="J12" s="79"/>
      <c r="K12" s="101"/>
      <c r="O12" s="132"/>
    </row>
    <row r="13" spans="1:15" ht="16.5" thickBot="1">
      <c r="A13" s="64"/>
      <c r="B13" s="134">
        <v>4</v>
      </c>
      <c r="C13"/>
      <c r="D13" s="85">
        <f>SUM(34,11)*10</f>
        <v>450</v>
      </c>
      <c r="E13" s="79">
        <v>285</v>
      </c>
      <c r="F13" s="85">
        <v>290</v>
      </c>
      <c r="G13" s="101">
        <f>((E13-D13)/D13)*100</f>
        <v>-36.666666666666664</v>
      </c>
      <c r="H13" s="79">
        <f>SUM(1,0)*10</f>
        <v>10</v>
      </c>
      <c r="I13" s="85">
        <v>9</v>
      </c>
      <c r="J13" s="79">
        <v>11</v>
      </c>
      <c r="K13" s="101">
        <f>((I13-H13)/H13)*100</f>
        <v>-10</v>
      </c>
      <c r="M13" s="60">
        <v>41</v>
      </c>
      <c r="O13" s="132"/>
    </row>
    <row r="14" spans="1:15" ht="16.5" thickBot="1">
      <c r="A14" s="64"/>
      <c r="B14" s="134"/>
      <c r="C14" s="138" t="s">
        <v>67</v>
      </c>
      <c r="D14" s="85"/>
      <c r="E14" s="79"/>
      <c r="F14" s="85"/>
      <c r="G14" s="101"/>
      <c r="H14" s="79"/>
      <c r="I14" s="85"/>
      <c r="J14" s="79"/>
      <c r="K14" s="101"/>
      <c r="O14" s="132"/>
    </row>
    <row r="15" spans="1:15" ht="16.5" thickBot="1">
      <c r="A15" s="64"/>
      <c r="B15" s="134">
        <v>5</v>
      </c>
      <c r="C15"/>
      <c r="D15" s="85" t="s">
        <v>79</v>
      </c>
      <c r="E15" s="79">
        <v>644</v>
      </c>
      <c r="F15" s="85">
        <v>605</v>
      </c>
      <c r="G15" s="101" t="s">
        <v>79</v>
      </c>
      <c r="H15" s="79" t="s">
        <v>79</v>
      </c>
      <c r="I15" s="85">
        <v>18</v>
      </c>
      <c r="J15" s="79">
        <v>76</v>
      </c>
      <c r="K15" s="101" t="s">
        <v>79</v>
      </c>
      <c r="M15" s="60">
        <v>131</v>
      </c>
      <c r="O15" s="132"/>
    </row>
    <row r="16" spans="1:15" ht="16.5" thickBot="1">
      <c r="A16" s="64"/>
      <c r="B16" s="134"/>
      <c r="C16" s="138" t="s">
        <v>66</v>
      </c>
      <c r="D16" s="85"/>
      <c r="E16" s="79"/>
      <c r="F16" s="85"/>
      <c r="G16" s="101"/>
      <c r="H16" s="79"/>
      <c r="I16" s="85"/>
      <c r="J16" s="79"/>
      <c r="K16" s="101"/>
      <c r="O16" s="132"/>
    </row>
    <row r="17" spans="1:15" ht="16.5" thickBot="1">
      <c r="A17" s="64"/>
      <c r="B17" s="134">
        <v>6</v>
      </c>
      <c r="C17"/>
      <c r="D17" s="85">
        <f>SUM(74,16)*10</f>
        <v>900</v>
      </c>
      <c r="E17" s="79">
        <v>836</v>
      </c>
      <c r="F17" s="85">
        <v>877</v>
      </c>
      <c r="G17" s="101">
        <f>((E17-D17)/D17)*100</f>
        <v>-7.111111111111111</v>
      </c>
      <c r="H17" s="79">
        <f>SUM(23,38)*10</f>
        <v>610</v>
      </c>
      <c r="I17" s="85">
        <v>567</v>
      </c>
      <c r="J17" s="79">
        <v>850</v>
      </c>
      <c r="K17" s="101">
        <f>((I17-H17)/H17)*100</f>
        <v>-7.049180327868852</v>
      </c>
      <c r="M17" s="60">
        <v>666</v>
      </c>
      <c r="O17" s="132"/>
    </row>
    <row r="18" spans="1:15" ht="16.5" thickBot="1">
      <c r="A18" s="64"/>
      <c r="B18" s="134"/>
      <c r="C18" s="138" t="s">
        <v>65</v>
      </c>
      <c r="D18" s="85"/>
      <c r="E18" s="79"/>
      <c r="F18" s="85"/>
      <c r="G18" s="101"/>
      <c r="H18" s="79"/>
      <c r="I18" s="85"/>
      <c r="J18" s="79"/>
      <c r="K18" s="101"/>
      <c r="O18" s="132"/>
    </row>
    <row r="19" spans="1:15" ht="16.5" thickBot="1">
      <c r="A19" s="64"/>
      <c r="B19" s="134">
        <v>7</v>
      </c>
      <c r="C19"/>
      <c r="D19" s="85">
        <f>SUM(73,13)*10</f>
        <v>860</v>
      </c>
      <c r="E19" s="79">
        <v>917</v>
      </c>
      <c r="F19" s="85">
        <v>838</v>
      </c>
      <c r="G19" s="101">
        <f>((E19-D19)/D19)*100</f>
        <v>6.627906976744185</v>
      </c>
      <c r="H19" s="79">
        <f>SUM(35,18)*10</f>
        <v>530</v>
      </c>
      <c r="I19" s="85">
        <v>582</v>
      </c>
      <c r="J19" s="79">
        <v>580</v>
      </c>
      <c r="K19" s="101">
        <f>((I19-H19)/H19)*100</f>
        <v>9.811320754716983</v>
      </c>
      <c r="M19" s="60">
        <v>711</v>
      </c>
      <c r="O19" s="132"/>
    </row>
    <row r="20" spans="1:15" ht="16.5" thickBot="1">
      <c r="A20" s="64"/>
      <c r="B20" s="134"/>
      <c r="C20" s="138" t="s">
        <v>64</v>
      </c>
      <c r="D20" s="85"/>
      <c r="E20" s="79"/>
      <c r="F20" s="85"/>
      <c r="G20" s="101"/>
      <c r="H20" s="79"/>
      <c r="I20" s="85"/>
      <c r="J20" s="79"/>
      <c r="K20" s="101"/>
      <c r="O20" s="132"/>
    </row>
    <row r="21" spans="1:15" ht="16.5" thickBot="1">
      <c r="A21" s="64"/>
      <c r="B21" s="134">
        <v>8</v>
      </c>
      <c r="C21"/>
      <c r="D21" s="85">
        <f>SUM(60,22)*10</f>
        <v>820</v>
      </c>
      <c r="E21" s="79">
        <v>773</v>
      </c>
      <c r="F21" s="85">
        <v>769</v>
      </c>
      <c r="G21" s="101">
        <f>((E21-D21)/D21)*100</f>
        <v>-5.731707317073171</v>
      </c>
      <c r="H21" s="79">
        <f>SUM(7,37)*10</f>
        <v>440</v>
      </c>
      <c r="I21" s="85">
        <v>388</v>
      </c>
      <c r="J21" s="79">
        <v>612</v>
      </c>
      <c r="K21" s="101">
        <f>((I21-H21)/H21)*100</f>
        <v>-11.818181818181818</v>
      </c>
      <c r="M21" s="60">
        <v>501</v>
      </c>
      <c r="O21" s="132"/>
    </row>
    <row r="22" spans="1:15" ht="16.5" thickBot="1">
      <c r="A22" s="64"/>
      <c r="B22" s="134"/>
      <c r="C22" s="138" t="s">
        <v>63</v>
      </c>
      <c r="D22" s="85"/>
      <c r="E22" s="79"/>
      <c r="F22" s="85"/>
      <c r="G22" s="101"/>
      <c r="H22" s="79"/>
      <c r="I22" s="85"/>
      <c r="J22" s="79"/>
      <c r="K22" s="101"/>
      <c r="O22" s="132"/>
    </row>
    <row r="23" spans="1:15" ht="16.5" thickBot="1">
      <c r="A23" s="64"/>
      <c r="B23" s="134">
        <v>9</v>
      </c>
      <c r="C23"/>
      <c r="D23" s="85">
        <f>SUM(81,14)*10</f>
        <v>950</v>
      </c>
      <c r="E23" s="79">
        <v>957</v>
      </c>
      <c r="F23" s="85">
        <v>85</v>
      </c>
      <c r="G23" s="101">
        <f>((E23-D23)/D23)*100</f>
        <v>0.7368421052631579</v>
      </c>
      <c r="H23" s="79">
        <f>SUM(34,42)*10</f>
        <v>760</v>
      </c>
      <c r="I23" s="85">
        <v>741</v>
      </c>
      <c r="J23" s="79">
        <v>780</v>
      </c>
      <c r="K23" s="101">
        <f>((I23-H23)/H23)*100</f>
        <v>-2.5</v>
      </c>
      <c r="M23" s="60">
        <v>770</v>
      </c>
      <c r="O23" s="132"/>
    </row>
    <row r="24" spans="1:15" ht="16.5" thickBot="1">
      <c r="A24" s="64"/>
      <c r="B24" s="134"/>
      <c r="C24" s="138" t="s">
        <v>62</v>
      </c>
      <c r="D24" s="85"/>
      <c r="E24" s="79"/>
      <c r="F24" s="85"/>
      <c r="G24" s="101"/>
      <c r="H24" s="79"/>
      <c r="I24" s="85"/>
      <c r="J24" s="79"/>
      <c r="K24" s="101"/>
      <c r="O24" s="132"/>
    </row>
    <row r="25" spans="1:15" ht="16.5" thickBot="1">
      <c r="A25" s="64"/>
      <c r="B25" s="134">
        <v>10</v>
      </c>
      <c r="C25"/>
      <c r="D25" s="85">
        <f>SUM(85,7)*10</f>
        <v>920</v>
      </c>
      <c r="E25" s="79">
        <v>944</v>
      </c>
      <c r="F25" s="85">
        <v>909</v>
      </c>
      <c r="G25" s="101">
        <f>((E25-D25)/D25)*100</f>
        <v>2.608695652173913</v>
      </c>
      <c r="H25" s="79">
        <f>SUM(11,18)*10</f>
        <v>290</v>
      </c>
      <c r="I25" s="85">
        <v>557</v>
      </c>
      <c r="J25" s="79">
        <v>655</v>
      </c>
      <c r="K25" s="101">
        <f>((I25-H25)/H25)*100</f>
        <v>92.06896551724138</v>
      </c>
      <c r="M25" s="60">
        <v>646</v>
      </c>
      <c r="O25" s="132"/>
    </row>
    <row r="26" spans="1:15" ht="16.5" thickBot="1">
      <c r="A26" s="64"/>
      <c r="B26" s="134"/>
      <c r="C26" s="138" t="s">
        <v>61</v>
      </c>
      <c r="D26" s="85"/>
      <c r="E26" s="79"/>
      <c r="F26" s="85"/>
      <c r="G26" s="101"/>
      <c r="H26" s="79"/>
      <c r="I26" s="85"/>
      <c r="J26" s="79"/>
      <c r="K26" s="101"/>
      <c r="O26" s="132"/>
    </row>
    <row r="27" spans="1:15" ht="16.5" thickBot="1">
      <c r="A27" s="64"/>
      <c r="B27" s="134">
        <v>11</v>
      </c>
      <c r="C27"/>
      <c r="D27" s="85" t="s">
        <v>79</v>
      </c>
      <c r="E27" s="79">
        <v>577</v>
      </c>
      <c r="F27" s="85">
        <v>491</v>
      </c>
      <c r="G27" s="101" t="s">
        <v>79</v>
      </c>
      <c r="H27" s="79" t="s">
        <v>79</v>
      </c>
      <c r="I27" s="85">
        <v>36</v>
      </c>
      <c r="J27" s="79">
        <v>35</v>
      </c>
      <c r="K27" s="101" t="s">
        <v>79</v>
      </c>
      <c r="M27" s="60">
        <v>145</v>
      </c>
      <c r="O27" s="132"/>
    </row>
    <row r="28" spans="1:15" ht="16.5" thickBot="1">
      <c r="A28" s="64"/>
      <c r="B28" s="134"/>
      <c r="C28" s="138" t="s">
        <v>60</v>
      </c>
      <c r="D28" s="85"/>
      <c r="E28" s="79"/>
      <c r="F28" s="85"/>
      <c r="G28" s="101"/>
      <c r="H28" s="79"/>
      <c r="I28" s="85"/>
      <c r="J28" s="79"/>
      <c r="K28" s="101"/>
      <c r="O28" s="132"/>
    </row>
    <row r="29" spans="1:15" ht="16.5" thickBot="1">
      <c r="A29" s="64"/>
      <c r="B29" s="134">
        <v>12</v>
      </c>
      <c r="C29"/>
      <c r="D29" s="85">
        <f>SUM(56,19)*10</f>
        <v>750</v>
      </c>
      <c r="E29" s="79">
        <v>885</v>
      </c>
      <c r="F29" s="85">
        <v>913</v>
      </c>
      <c r="G29" s="101">
        <f aca="true" t="shared" si="0" ref="G29:G57">((E29-D29)/D29)*100</f>
        <v>18</v>
      </c>
      <c r="H29" s="79">
        <f>SUM(9,23)*10</f>
        <v>320</v>
      </c>
      <c r="I29" s="85">
        <v>595</v>
      </c>
      <c r="J29" s="79">
        <v>702</v>
      </c>
      <c r="K29" s="101">
        <f aca="true" t="shared" si="1" ref="K29:K43">((I29-H29)/H29)*100</f>
        <v>85.9375</v>
      </c>
      <c r="M29" s="60">
        <v>689</v>
      </c>
      <c r="O29" s="132"/>
    </row>
    <row r="30" spans="1:15" ht="16.5" thickBot="1">
      <c r="A30" s="64"/>
      <c r="B30" s="134"/>
      <c r="C30" s="138" t="s">
        <v>59</v>
      </c>
      <c r="D30" s="85"/>
      <c r="E30" s="79"/>
      <c r="F30" s="85"/>
      <c r="G30" s="101"/>
      <c r="H30" s="79"/>
      <c r="I30" s="85"/>
      <c r="J30" s="79"/>
      <c r="K30" s="101"/>
      <c r="O30" s="132"/>
    </row>
    <row r="31" spans="1:15" ht="16.5" thickBot="1">
      <c r="A31" s="64"/>
      <c r="B31" s="134">
        <v>13</v>
      </c>
      <c r="C31"/>
      <c r="D31" s="85">
        <f>SUM(26,14)*10</f>
        <v>400</v>
      </c>
      <c r="E31" s="79">
        <v>426</v>
      </c>
      <c r="F31" s="85">
        <v>416</v>
      </c>
      <c r="G31" s="101">
        <f t="shared" si="0"/>
        <v>6.5</v>
      </c>
      <c r="H31" s="79">
        <f>SUM(6,7)*10</f>
        <v>130</v>
      </c>
      <c r="I31" s="85">
        <v>108</v>
      </c>
      <c r="J31" s="79">
        <v>158</v>
      </c>
      <c r="K31" s="101">
        <f t="shared" si="1"/>
        <v>-16.923076923076923</v>
      </c>
      <c r="M31" s="60">
        <v>189</v>
      </c>
      <c r="O31" s="132"/>
    </row>
    <row r="32" spans="1:15" ht="16.5" thickBot="1">
      <c r="A32" s="64"/>
      <c r="B32" s="134"/>
      <c r="C32" s="138" t="s">
        <v>58</v>
      </c>
      <c r="D32" s="85"/>
      <c r="E32" s="79"/>
      <c r="F32" s="85"/>
      <c r="G32" s="101"/>
      <c r="H32" s="79"/>
      <c r="I32" s="85"/>
      <c r="J32" s="79"/>
      <c r="K32" s="101"/>
      <c r="O32" s="132"/>
    </row>
    <row r="33" spans="1:15" ht="16.5" thickBot="1">
      <c r="A33" s="64"/>
      <c r="B33" s="134">
        <v>14</v>
      </c>
      <c r="C33"/>
      <c r="D33" s="85">
        <f>SUM(45,21)*10</f>
        <v>660</v>
      </c>
      <c r="E33" s="79">
        <v>637</v>
      </c>
      <c r="F33" s="85">
        <v>668</v>
      </c>
      <c r="G33" s="101">
        <f t="shared" si="0"/>
        <v>-3.4848484848484853</v>
      </c>
      <c r="H33" s="79">
        <f>SUM(3,3)*10</f>
        <v>60</v>
      </c>
      <c r="I33" s="85">
        <v>69</v>
      </c>
      <c r="J33" s="79">
        <v>91</v>
      </c>
      <c r="K33" s="101">
        <f t="shared" si="1"/>
        <v>15</v>
      </c>
      <c r="M33" s="60">
        <v>225</v>
      </c>
      <c r="O33" s="132"/>
    </row>
    <row r="34" spans="1:15" ht="16.5" thickBot="1">
      <c r="A34" s="64"/>
      <c r="B34" s="134"/>
      <c r="C34" s="138" t="s">
        <v>80</v>
      </c>
      <c r="D34" s="85"/>
      <c r="E34" s="79"/>
      <c r="F34" s="85"/>
      <c r="G34" s="101"/>
      <c r="H34" s="79"/>
      <c r="I34" s="85"/>
      <c r="J34" s="79"/>
      <c r="K34" s="101"/>
      <c r="O34" s="132"/>
    </row>
    <row r="35" spans="1:15" ht="16.5" thickBot="1">
      <c r="A35" s="64"/>
      <c r="B35" s="134">
        <v>15</v>
      </c>
      <c r="C35"/>
      <c r="D35" s="85">
        <f>SUM(69,22)*10</f>
        <v>910</v>
      </c>
      <c r="E35" s="79">
        <v>917</v>
      </c>
      <c r="F35" s="85">
        <v>889</v>
      </c>
      <c r="G35" s="101">
        <f t="shared" si="0"/>
        <v>0.7692307692307693</v>
      </c>
      <c r="H35" s="79">
        <f>SUM(22,27)*10</f>
        <v>490</v>
      </c>
      <c r="I35" s="85">
        <v>485</v>
      </c>
      <c r="J35" s="79">
        <v>569</v>
      </c>
      <c r="K35" s="101">
        <f t="shared" si="1"/>
        <v>-1.0204081632653061</v>
      </c>
      <c r="M35" s="60">
        <v>668</v>
      </c>
      <c r="O35" s="132"/>
    </row>
    <row r="36" spans="1:15" ht="16.5" thickBot="1">
      <c r="A36" s="64"/>
      <c r="B36" s="134"/>
      <c r="C36" s="138" t="s">
        <v>56</v>
      </c>
      <c r="D36" s="85"/>
      <c r="E36" s="79"/>
      <c r="F36" s="85"/>
      <c r="G36" s="101"/>
      <c r="H36" s="79"/>
      <c r="I36" s="85"/>
      <c r="J36" s="79"/>
      <c r="K36" s="101"/>
      <c r="O36" s="132"/>
    </row>
    <row r="37" spans="1:15" ht="16.5" thickBot="1">
      <c r="A37" s="64"/>
      <c r="B37" s="134">
        <v>16</v>
      </c>
      <c r="C37"/>
      <c r="D37" s="85">
        <f>SUM(43,26)*10</f>
        <v>690</v>
      </c>
      <c r="E37" s="79">
        <v>630</v>
      </c>
      <c r="F37" s="85">
        <v>656</v>
      </c>
      <c r="G37" s="101">
        <f t="shared" si="0"/>
        <v>-8.695652173913043</v>
      </c>
      <c r="H37" s="79">
        <f>SUM(14,25)*10</f>
        <v>390</v>
      </c>
      <c r="I37" s="85">
        <v>294</v>
      </c>
      <c r="J37" s="79">
        <v>247</v>
      </c>
      <c r="K37" s="101">
        <f t="shared" si="1"/>
        <v>-24.615384615384617</v>
      </c>
      <c r="M37" s="60">
        <v>381</v>
      </c>
      <c r="O37" s="132"/>
    </row>
    <row r="38" spans="1:15" ht="16.5" thickBot="1">
      <c r="A38" s="64"/>
      <c r="B38" s="134"/>
      <c r="C38" s="138" t="s">
        <v>55</v>
      </c>
      <c r="D38" s="85"/>
      <c r="E38" s="79"/>
      <c r="F38" s="85"/>
      <c r="G38" s="101"/>
      <c r="H38" s="79"/>
      <c r="I38" s="85"/>
      <c r="J38" s="79"/>
      <c r="K38" s="101"/>
      <c r="O38" s="132"/>
    </row>
    <row r="39" spans="1:15" ht="16.5" thickBot="1">
      <c r="A39" s="64"/>
      <c r="B39" s="134">
        <v>17</v>
      </c>
      <c r="C39"/>
      <c r="D39" s="85">
        <f>SUM(62,24)*10</f>
        <v>860</v>
      </c>
      <c r="E39" s="79">
        <v>888</v>
      </c>
      <c r="F39" s="85">
        <v>956</v>
      </c>
      <c r="G39" s="101">
        <f t="shared" si="0"/>
        <v>3.255813953488372</v>
      </c>
      <c r="H39" s="79">
        <f>SUM(8,17)*10</f>
        <v>250</v>
      </c>
      <c r="I39" s="85">
        <v>406</v>
      </c>
      <c r="J39" s="79">
        <v>506</v>
      </c>
      <c r="K39" s="101">
        <f t="shared" si="1"/>
        <v>62.4</v>
      </c>
      <c r="M39" s="60">
        <v>486</v>
      </c>
      <c r="O39" s="132"/>
    </row>
    <row r="40" spans="1:15" ht="16.5" thickBot="1">
      <c r="A40" s="64"/>
      <c r="B40" s="134"/>
      <c r="C40" s="138" t="s">
        <v>54</v>
      </c>
      <c r="D40" s="85"/>
      <c r="E40" s="79"/>
      <c r="F40" s="85"/>
      <c r="G40" s="101"/>
      <c r="H40" s="79"/>
      <c r="I40" s="85"/>
      <c r="J40" s="79"/>
      <c r="K40" s="101"/>
      <c r="O40" s="132"/>
    </row>
    <row r="41" spans="1:15" ht="16.5" thickBot="1">
      <c r="A41" s="64"/>
      <c r="B41" s="134">
        <v>18</v>
      </c>
      <c r="C41"/>
      <c r="D41" s="85">
        <f>SUM(17,16)*10</f>
        <v>330</v>
      </c>
      <c r="E41" s="79">
        <v>599</v>
      </c>
      <c r="F41" s="85">
        <v>720</v>
      </c>
      <c r="G41" s="101">
        <f t="shared" si="0"/>
        <v>81.51515151515152</v>
      </c>
      <c r="H41" s="79">
        <f>SUM(1+19)*10</f>
        <v>200</v>
      </c>
      <c r="I41" s="85">
        <v>142</v>
      </c>
      <c r="J41" s="154">
        <v>146</v>
      </c>
      <c r="K41" s="101">
        <f t="shared" si="1"/>
        <v>-28.999999999999996</v>
      </c>
      <c r="M41" s="60">
        <v>343</v>
      </c>
      <c r="O41" s="132"/>
    </row>
    <row r="42" spans="1:15" ht="16.5" thickBot="1">
      <c r="A42" s="64"/>
      <c r="B42" s="134"/>
      <c r="C42" s="138" t="s">
        <v>53</v>
      </c>
      <c r="D42" s="85"/>
      <c r="E42" s="79"/>
      <c r="F42" s="85"/>
      <c r="G42" s="101"/>
      <c r="H42" s="79"/>
      <c r="I42" s="85"/>
      <c r="J42" s="79"/>
      <c r="K42" s="101"/>
      <c r="O42" s="132"/>
    </row>
    <row r="43" spans="1:15" ht="16.5" thickBot="1">
      <c r="A43" s="64"/>
      <c r="B43" s="134">
        <v>19</v>
      </c>
      <c r="C43" s="143"/>
      <c r="D43" s="151">
        <f>SUM(78,4)*10</f>
        <v>820</v>
      </c>
      <c r="E43" s="153">
        <v>578</v>
      </c>
      <c r="F43" s="153">
        <v>257</v>
      </c>
      <c r="G43" s="152">
        <f t="shared" si="0"/>
        <v>-29.51219512195122</v>
      </c>
      <c r="H43" s="153">
        <f>SUM(50,42)*10</f>
        <v>920</v>
      </c>
      <c r="I43" s="153">
        <v>513</v>
      </c>
      <c r="J43" s="147">
        <v>286</v>
      </c>
      <c r="K43" s="101">
        <f t="shared" si="1"/>
        <v>-44.23913043478261</v>
      </c>
      <c r="M43" s="60">
        <v>536</v>
      </c>
      <c r="O43" s="132"/>
    </row>
    <row r="44" spans="1:15" ht="16.5" thickBot="1">
      <c r="A44" s="64"/>
      <c r="B44" s="134"/>
      <c r="C44" s="155" t="s">
        <v>52</v>
      </c>
      <c r="D44" s="85"/>
      <c r="E44" s="79"/>
      <c r="F44" s="85"/>
      <c r="G44" s="101"/>
      <c r="H44" s="79"/>
      <c r="I44" s="85"/>
      <c r="J44" s="79"/>
      <c r="K44" s="101"/>
      <c r="O44" s="132"/>
    </row>
    <row r="45" spans="1:15" ht="16.5" thickBot="1">
      <c r="A45" s="64"/>
      <c r="B45" s="134">
        <v>20</v>
      </c>
      <c r="C45"/>
      <c r="D45" s="85">
        <f>SUM(30,19)*10</f>
        <v>490</v>
      </c>
      <c r="E45" s="79">
        <v>554</v>
      </c>
      <c r="F45" s="85">
        <v>636</v>
      </c>
      <c r="G45" s="101">
        <f t="shared" si="0"/>
        <v>13.061224489795919</v>
      </c>
      <c r="H45" s="79" t="s">
        <v>79</v>
      </c>
      <c r="I45" s="85">
        <v>46</v>
      </c>
      <c r="J45" s="79">
        <v>58</v>
      </c>
      <c r="K45" s="101" t="s">
        <v>79</v>
      </c>
      <c r="M45" s="60">
        <v>124</v>
      </c>
      <c r="O45" s="132"/>
    </row>
    <row r="46" spans="1:15" ht="16.5" thickBot="1">
      <c r="A46" s="64"/>
      <c r="B46" s="134"/>
      <c r="C46" s="138" t="s">
        <v>51</v>
      </c>
      <c r="D46" s="85"/>
      <c r="E46" s="79"/>
      <c r="F46" s="85"/>
      <c r="G46" s="101"/>
      <c r="H46" s="79"/>
      <c r="I46" s="85"/>
      <c r="J46" s="79"/>
      <c r="K46" s="101"/>
      <c r="O46" s="132"/>
    </row>
    <row r="47" spans="1:15" ht="16.5" thickBot="1">
      <c r="A47" s="64"/>
      <c r="B47" s="134">
        <v>21</v>
      </c>
      <c r="C47"/>
      <c r="D47" s="85">
        <f>SUM(64,4)*10</f>
        <v>680</v>
      </c>
      <c r="E47" s="79">
        <v>784</v>
      </c>
      <c r="F47" s="85">
        <v>821</v>
      </c>
      <c r="G47" s="101">
        <f t="shared" si="0"/>
        <v>15.294117647058824</v>
      </c>
      <c r="H47" s="79">
        <f>SUM(6+7)*10</f>
        <v>130</v>
      </c>
      <c r="I47" s="85">
        <v>220</v>
      </c>
      <c r="J47" s="79">
        <v>363</v>
      </c>
      <c r="K47" s="101">
        <f aca="true" t="shared" si="2" ref="K47:K57">((I47-H47)/H47)*100</f>
        <v>69.23076923076923</v>
      </c>
      <c r="M47" s="60">
        <v>416</v>
      </c>
      <c r="O47" s="132"/>
    </row>
    <row r="48" spans="1:15" ht="16.5" thickBot="1">
      <c r="A48" s="64"/>
      <c r="B48" s="134"/>
      <c r="C48" s="138" t="s">
        <v>50</v>
      </c>
      <c r="D48" s="85"/>
      <c r="E48" s="79"/>
      <c r="F48" s="85"/>
      <c r="G48" s="101"/>
      <c r="H48" s="79"/>
      <c r="I48" s="85"/>
      <c r="J48" s="79"/>
      <c r="K48" s="101"/>
      <c r="O48" s="132"/>
    </row>
    <row r="49" spans="1:15" ht="16.5" thickBot="1">
      <c r="A49" s="64"/>
      <c r="B49" s="134">
        <v>22</v>
      </c>
      <c r="C49"/>
      <c r="D49" s="85">
        <f>SUM(69,15)*10</f>
        <v>840</v>
      </c>
      <c r="E49" s="79">
        <v>805</v>
      </c>
      <c r="F49" s="85">
        <v>866</v>
      </c>
      <c r="G49" s="101">
        <f t="shared" si="0"/>
        <v>-4.166666666666666</v>
      </c>
      <c r="H49" s="79">
        <f>SUM(14,8)*10</f>
        <v>220</v>
      </c>
      <c r="I49" s="85">
        <v>251</v>
      </c>
      <c r="J49" s="79">
        <v>285</v>
      </c>
      <c r="K49" s="101">
        <f t="shared" si="2"/>
        <v>14.09090909090909</v>
      </c>
      <c r="M49" s="60">
        <v>401</v>
      </c>
      <c r="O49" s="132"/>
    </row>
    <row r="50" spans="1:15" ht="16.5" thickBot="1">
      <c r="A50" s="64"/>
      <c r="B50" s="134"/>
      <c r="C50" s="138" t="s">
        <v>49</v>
      </c>
      <c r="D50" s="85"/>
      <c r="E50" s="79"/>
      <c r="F50" s="85"/>
      <c r="G50" s="101"/>
      <c r="H50" s="79"/>
      <c r="I50" s="85"/>
      <c r="J50" s="79"/>
      <c r="K50" s="101"/>
      <c r="O50" s="132"/>
    </row>
    <row r="51" spans="1:15" ht="16.5" thickBot="1">
      <c r="A51" s="64"/>
      <c r="B51" s="134">
        <v>23</v>
      </c>
      <c r="C51"/>
      <c r="D51" s="85">
        <f>SUM(87,11)*10</f>
        <v>980</v>
      </c>
      <c r="E51" s="79">
        <v>992</v>
      </c>
      <c r="F51" s="85">
        <v>982</v>
      </c>
      <c r="G51" s="101">
        <f t="shared" si="0"/>
        <v>1.2244897959183674</v>
      </c>
      <c r="H51" s="79">
        <f>SUM(71+6)*10</f>
        <v>770</v>
      </c>
      <c r="I51" s="85">
        <v>536</v>
      </c>
      <c r="J51" s="79">
        <v>674</v>
      </c>
      <c r="K51" s="101">
        <f t="shared" si="2"/>
        <v>-30.38961038961039</v>
      </c>
      <c r="M51" s="60">
        <v>599</v>
      </c>
      <c r="O51" s="132"/>
    </row>
    <row r="52" spans="1:15" ht="16.5" thickBot="1">
      <c r="A52" s="64"/>
      <c r="B52" s="134"/>
      <c r="C52" s="138" t="s">
        <v>48</v>
      </c>
      <c r="D52" s="85"/>
      <c r="E52" s="79"/>
      <c r="F52" s="85"/>
      <c r="G52" s="101"/>
      <c r="H52" s="79"/>
      <c r="I52" s="85"/>
      <c r="J52" s="79"/>
      <c r="K52" s="101"/>
      <c r="O52" s="132"/>
    </row>
    <row r="53" spans="1:15" ht="16.5" thickBot="1">
      <c r="A53" s="64"/>
      <c r="B53" s="134">
        <v>24</v>
      </c>
      <c r="C53"/>
      <c r="D53" s="85">
        <f>SUM(39,28)*10</f>
        <v>670</v>
      </c>
      <c r="E53" s="79">
        <v>833</v>
      </c>
      <c r="F53" s="85">
        <v>814</v>
      </c>
      <c r="G53" s="101">
        <f t="shared" si="0"/>
        <v>24.328358208955223</v>
      </c>
      <c r="H53" s="79">
        <f>SUM(5,34)*10</f>
        <v>390</v>
      </c>
      <c r="I53" s="85">
        <v>769</v>
      </c>
      <c r="J53" s="79">
        <v>873</v>
      </c>
      <c r="K53" s="101">
        <f t="shared" si="2"/>
        <v>97.17948717948718</v>
      </c>
      <c r="M53" s="60">
        <v>792</v>
      </c>
      <c r="O53" s="132"/>
    </row>
    <row r="54" spans="1:15" ht="16.5" thickBot="1">
      <c r="A54" s="64"/>
      <c r="B54" s="134"/>
      <c r="C54" s="138" t="s">
        <v>47</v>
      </c>
      <c r="D54" s="85"/>
      <c r="E54" s="79"/>
      <c r="F54" s="85"/>
      <c r="G54" s="101"/>
      <c r="H54" s="79"/>
      <c r="I54" s="85"/>
      <c r="J54" s="79"/>
      <c r="K54" s="101"/>
      <c r="O54" s="132"/>
    </row>
    <row r="55" spans="1:15" ht="16.5" thickBot="1">
      <c r="A55" s="64"/>
      <c r="B55" s="134">
        <v>25</v>
      </c>
      <c r="C55"/>
      <c r="D55" s="85">
        <f>SUM(47,20)*10</f>
        <v>670</v>
      </c>
      <c r="E55" s="79">
        <v>615</v>
      </c>
      <c r="F55" s="85">
        <v>606</v>
      </c>
      <c r="G55" s="101">
        <f t="shared" si="0"/>
        <v>-8.208955223880597</v>
      </c>
      <c r="H55" s="79">
        <f>SUM(4,19)*10</f>
        <v>230</v>
      </c>
      <c r="I55" s="85">
        <v>219</v>
      </c>
      <c r="J55" s="79">
        <v>274</v>
      </c>
      <c r="K55" s="101">
        <f t="shared" si="2"/>
        <v>-4.782608695652174</v>
      </c>
      <c r="M55" s="60">
        <v>273</v>
      </c>
      <c r="O55" s="132"/>
    </row>
    <row r="56" spans="1:15" ht="16.5" thickBot="1">
      <c r="A56" s="64"/>
      <c r="B56" s="134"/>
      <c r="C56" s="138" t="s">
        <v>46</v>
      </c>
      <c r="D56" s="85"/>
      <c r="E56" s="79"/>
      <c r="F56" s="85"/>
      <c r="G56" s="101"/>
      <c r="H56" s="79"/>
      <c r="I56" s="85"/>
      <c r="J56" s="79"/>
      <c r="K56" s="101"/>
      <c r="O56" s="132"/>
    </row>
    <row r="57" spans="1:15" ht="16.5" thickBot="1">
      <c r="A57" s="64"/>
      <c r="B57" s="134">
        <v>26</v>
      </c>
      <c r="C57"/>
      <c r="D57" s="85">
        <f>SUM(46,8)*10</f>
        <v>540</v>
      </c>
      <c r="E57" s="79">
        <v>486</v>
      </c>
      <c r="F57" s="85">
        <v>750</v>
      </c>
      <c r="G57" s="101">
        <f t="shared" si="0"/>
        <v>-10</v>
      </c>
      <c r="H57" s="79">
        <f>SUM(4,3)*10</f>
        <v>70</v>
      </c>
      <c r="I57" s="85">
        <v>22</v>
      </c>
      <c r="J57" s="79">
        <v>24</v>
      </c>
      <c r="K57" s="101">
        <f t="shared" si="2"/>
        <v>-68.57142857142857</v>
      </c>
      <c r="M57" s="60">
        <v>124</v>
      </c>
      <c r="O57" s="132"/>
    </row>
    <row r="58" spans="1:15" ht="16.5" thickBot="1">
      <c r="A58" s="64"/>
      <c r="B58" s="134"/>
      <c r="C58" s="138" t="s">
        <v>45</v>
      </c>
      <c r="D58" s="85"/>
      <c r="E58" s="79"/>
      <c r="F58" s="85"/>
      <c r="G58" s="101"/>
      <c r="H58" s="79"/>
      <c r="I58" s="85"/>
      <c r="J58" s="79"/>
      <c r="K58" s="101"/>
      <c r="O58" s="132"/>
    </row>
    <row r="59" spans="1:15" ht="16.5" thickBot="1">
      <c r="A59" s="64"/>
      <c r="B59" s="134">
        <v>27</v>
      </c>
      <c r="C59"/>
      <c r="D59" s="85" t="s">
        <v>79</v>
      </c>
      <c r="E59" s="79">
        <v>798</v>
      </c>
      <c r="F59" s="85">
        <v>473</v>
      </c>
      <c r="G59" s="101" t="s">
        <v>79</v>
      </c>
      <c r="H59" s="79" t="s">
        <v>79</v>
      </c>
      <c r="I59" s="85">
        <v>562</v>
      </c>
      <c r="J59" s="79">
        <v>608</v>
      </c>
      <c r="K59" s="101" t="s">
        <v>79</v>
      </c>
      <c r="M59" s="60">
        <v>613</v>
      </c>
      <c r="O59" s="132"/>
    </row>
    <row r="60" spans="1:15" ht="16.5" thickBot="1">
      <c r="A60" s="64"/>
      <c r="B60" s="134"/>
      <c r="C60" s="138" t="s">
        <v>44</v>
      </c>
      <c r="D60" s="85"/>
      <c r="E60" s="79"/>
      <c r="F60" s="85"/>
      <c r="G60" s="101"/>
      <c r="H60" s="79"/>
      <c r="I60" s="85"/>
      <c r="J60" s="79"/>
      <c r="K60" s="101"/>
      <c r="O60" s="132"/>
    </row>
    <row r="61" spans="1:15" ht="16.5" thickBot="1">
      <c r="A61" s="64"/>
      <c r="B61" s="134">
        <v>28</v>
      </c>
      <c r="C61"/>
      <c r="D61" s="85">
        <f>SUM(38,23)*10</f>
        <v>610</v>
      </c>
      <c r="E61" s="79">
        <v>595</v>
      </c>
      <c r="F61" s="85">
        <v>704</v>
      </c>
      <c r="G61" s="101">
        <f>((E61-D61)/D61)*100</f>
        <v>-2.459016393442623</v>
      </c>
      <c r="H61" s="79">
        <f>SUM(1,3)*10</f>
        <v>40</v>
      </c>
      <c r="I61" s="85">
        <v>125</v>
      </c>
      <c r="J61" s="79">
        <v>78</v>
      </c>
      <c r="K61" s="101">
        <f>((I61-H61)/H61)*100</f>
        <v>212.5</v>
      </c>
      <c r="M61" s="60">
        <v>252</v>
      </c>
      <c r="O61" s="132"/>
    </row>
    <row r="62" spans="1:15" ht="15.75" hidden="1">
      <c r="A62" s="64"/>
      <c r="B62" s="134"/>
      <c r="C62" s="69" t="s">
        <v>42</v>
      </c>
      <c r="D62" s="85"/>
      <c r="E62" s="79"/>
      <c r="F62" s="85"/>
      <c r="G62" s="101"/>
      <c r="H62" s="79"/>
      <c r="I62" s="85"/>
      <c r="J62" s="79"/>
      <c r="K62" s="101"/>
      <c r="O62" s="132"/>
    </row>
    <row r="63" spans="1:15" ht="16.5" thickBot="1">
      <c r="A63" s="64"/>
      <c r="B63" s="134"/>
      <c r="C63" s="138" t="s">
        <v>86</v>
      </c>
      <c r="D63" s="85"/>
      <c r="E63" s="79"/>
      <c r="F63" s="85"/>
      <c r="G63" s="101"/>
      <c r="H63" s="79"/>
      <c r="I63" s="85"/>
      <c r="J63" s="79"/>
      <c r="K63" s="101"/>
      <c r="O63" s="132"/>
    </row>
    <row r="64" spans="1:15" ht="16.5" thickBot="1">
      <c r="A64" s="64"/>
      <c r="B64" s="134">
        <v>1</v>
      </c>
      <c r="C64"/>
      <c r="D64" s="85">
        <f>SUM(87,13)*10</f>
        <v>1000</v>
      </c>
      <c r="E64" s="79">
        <v>943</v>
      </c>
      <c r="F64" s="85">
        <v>989</v>
      </c>
      <c r="G64" s="101">
        <f aca="true" t="shared" si="3" ref="G64:G77">((E64-D64)/D64)*100</f>
        <v>-5.7</v>
      </c>
      <c r="H64" s="79">
        <f>SUM(26,34)*10</f>
        <v>600</v>
      </c>
      <c r="I64" s="85">
        <v>795</v>
      </c>
      <c r="J64" s="79">
        <v>831</v>
      </c>
      <c r="K64" s="101">
        <f aca="true" t="shared" si="4" ref="K64:K77">((I64-H64)/H64)*100</f>
        <v>32.5</v>
      </c>
      <c r="M64" s="60">
        <v>843</v>
      </c>
      <c r="O64" s="132"/>
    </row>
    <row r="65" spans="1:15" ht="16.5" thickBot="1">
      <c r="A65" s="64"/>
      <c r="B65" s="134"/>
      <c r="C65" s="138" t="s">
        <v>40</v>
      </c>
      <c r="D65" s="85"/>
      <c r="E65" s="79"/>
      <c r="F65" s="85"/>
      <c r="G65" s="101"/>
      <c r="H65" s="79"/>
      <c r="I65" s="85"/>
      <c r="J65" s="79"/>
      <c r="K65" s="101"/>
      <c r="O65" s="132"/>
    </row>
    <row r="66" spans="1:15" ht="16.5" thickBot="1">
      <c r="A66" s="64"/>
      <c r="B66" s="134">
        <v>2</v>
      </c>
      <c r="C66"/>
      <c r="D66" s="85">
        <f>SUM(90,10)*10</f>
        <v>1000</v>
      </c>
      <c r="E66" s="79">
        <v>976</v>
      </c>
      <c r="F66" s="85">
        <v>991</v>
      </c>
      <c r="G66" s="101">
        <f t="shared" si="3"/>
        <v>-2.4</v>
      </c>
      <c r="H66" s="79">
        <f>SUM(58,25)*10</f>
        <v>830</v>
      </c>
      <c r="I66" s="85">
        <v>899</v>
      </c>
      <c r="J66" s="79">
        <v>891</v>
      </c>
      <c r="K66" s="101">
        <f t="shared" si="4"/>
        <v>8.313253012048193</v>
      </c>
      <c r="M66" s="60">
        <v>970</v>
      </c>
      <c r="O66" s="132"/>
    </row>
    <row r="67" spans="1:15" ht="16.5" thickBot="1">
      <c r="A67" s="64"/>
      <c r="B67" s="134"/>
      <c r="C67" s="138" t="s">
        <v>39</v>
      </c>
      <c r="D67" s="85"/>
      <c r="E67" s="79"/>
      <c r="F67" s="85"/>
      <c r="G67" s="101"/>
      <c r="H67" s="79"/>
      <c r="I67" s="85"/>
      <c r="J67" s="79"/>
      <c r="K67" s="101"/>
      <c r="O67" s="132"/>
    </row>
    <row r="68" spans="1:15" ht="16.5" thickBot="1">
      <c r="A68" s="64"/>
      <c r="B68" s="134">
        <v>3</v>
      </c>
      <c r="C68"/>
      <c r="D68" s="85">
        <f>SUM(50,26)*10</f>
        <v>760</v>
      </c>
      <c r="E68" s="79">
        <v>563</v>
      </c>
      <c r="F68" s="85">
        <v>802</v>
      </c>
      <c r="G68" s="101">
        <f t="shared" si="3"/>
        <v>-25.921052631578945</v>
      </c>
      <c r="H68" s="79">
        <f>SUM(2,4)*10</f>
        <v>60</v>
      </c>
      <c r="I68" s="85">
        <v>148</v>
      </c>
      <c r="J68" s="79">
        <v>298</v>
      </c>
      <c r="K68" s="101">
        <f t="shared" si="4"/>
        <v>146.66666666666666</v>
      </c>
      <c r="M68" s="60">
        <v>212</v>
      </c>
      <c r="O68" s="132"/>
    </row>
    <row r="69" spans="1:15" ht="16.5" thickBot="1">
      <c r="A69" s="64"/>
      <c r="B69" s="134"/>
      <c r="C69" s="138" t="s">
        <v>38</v>
      </c>
      <c r="D69" s="85"/>
      <c r="E69" s="79"/>
      <c r="F69" s="85"/>
      <c r="G69" s="101"/>
      <c r="H69" s="79"/>
      <c r="I69" s="85"/>
      <c r="J69" s="79"/>
      <c r="K69" s="101"/>
      <c r="O69" s="132"/>
    </row>
    <row r="70" spans="1:15" ht="16.5" thickBot="1">
      <c r="A70" s="64"/>
      <c r="B70" s="134">
        <v>4</v>
      </c>
      <c r="C70"/>
      <c r="D70" s="85">
        <f>SUM(55,226)*10</f>
        <v>2810</v>
      </c>
      <c r="E70" s="79">
        <v>971</v>
      </c>
      <c r="F70" s="85">
        <v>938</v>
      </c>
      <c r="G70" s="101">
        <f t="shared" si="3"/>
        <v>-65.44483985765125</v>
      </c>
      <c r="H70" s="79">
        <f>SUM(25,44)*10</f>
        <v>690</v>
      </c>
      <c r="I70" s="85">
        <v>753</v>
      </c>
      <c r="J70" s="79">
        <v>555</v>
      </c>
      <c r="K70" s="101">
        <f t="shared" si="4"/>
        <v>9.130434782608695</v>
      </c>
      <c r="M70" s="60">
        <v>833</v>
      </c>
      <c r="O70" s="132"/>
    </row>
    <row r="71" spans="1:15" ht="16.5" thickBot="1">
      <c r="A71" s="64"/>
      <c r="B71" s="134"/>
      <c r="C71" s="138" t="s">
        <v>37</v>
      </c>
      <c r="D71" s="85"/>
      <c r="E71" s="79"/>
      <c r="F71" s="85"/>
      <c r="G71" s="101"/>
      <c r="H71" s="79"/>
      <c r="I71" s="85"/>
      <c r="J71" s="79"/>
      <c r="K71" s="101"/>
      <c r="O71" s="132"/>
    </row>
    <row r="72" spans="1:15" ht="16.5" thickBot="1">
      <c r="A72" s="64"/>
      <c r="B72" s="134">
        <v>5</v>
      </c>
      <c r="C72"/>
      <c r="D72" s="85">
        <f>SUM(77,12)*10</f>
        <v>890</v>
      </c>
      <c r="E72" s="79">
        <v>849</v>
      </c>
      <c r="F72" s="85">
        <v>880</v>
      </c>
      <c r="G72" s="101">
        <f t="shared" si="3"/>
        <v>-4.606741573033708</v>
      </c>
      <c r="H72" s="79">
        <f>SUM(57,0)*10</f>
        <v>570</v>
      </c>
      <c r="I72" s="85">
        <v>913</v>
      </c>
      <c r="J72" s="79">
        <v>464</v>
      </c>
      <c r="K72" s="101">
        <f t="shared" si="4"/>
        <v>60.175438596491226</v>
      </c>
      <c r="M72" s="60">
        <v>863</v>
      </c>
      <c r="O72" s="132"/>
    </row>
    <row r="73" spans="1:15" ht="16.5" thickBot="1">
      <c r="A73" s="64"/>
      <c r="B73" s="134"/>
      <c r="C73" s="138" t="s">
        <v>36</v>
      </c>
      <c r="D73" s="85"/>
      <c r="E73" s="79"/>
      <c r="F73" s="85"/>
      <c r="G73" s="101"/>
      <c r="H73" s="79"/>
      <c r="I73" s="85"/>
      <c r="J73" s="79"/>
      <c r="K73" s="101"/>
      <c r="O73" s="132"/>
    </row>
    <row r="74" spans="1:15" ht="16.5" thickBot="1">
      <c r="A74" s="64"/>
      <c r="B74" s="134">
        <v>6</v>
      </c>
      <c r="C74"/>
      <c r="D74" s="85">
        <f>SUM(9,5)*10</f>
        <v>140</v>
      </c>
      <c r="E74" s="79">
        <v>27</v>
      </c>
      <c r="F74" s="85">
        <v>95</v>
      </c>
      <c r="G74" s="101">
        <f t="shared" si="3"/>
        <v>-80.71428571428572</v>
      </c>
      <c r="H74" s="79">
        <f>SUM(6,0)*10</f>
        <v>60</v>
      </c>
      <c r="I74" s="85">
        <v>122</v>
      </c>
      <c r="J74" s="79">
        <v>225</v>
      </c>
      <c r="K74" s="101">
        <f t="shared" si="4"/>
        <v>103.33333333333334</v>
      </c>
      <c r="M74" s="60">
        <v>68</v>
      </c>
      <c r="O74" s="132"/>
    </row>
    <row r="75" spans="1:15" ht="16.5" thickBot="1">
      <c r="A75" s="64"/>
      <c r="B75" s="134"/>
      <c r="C75" s="138" t="s">
        <v>35</v>
      </c>
      <c r="D75" s="85"/>
      <c r="E75" s="79"/>
      <c r="F75" s="85"/>
      <c r="G75" s="101"/>
      <c r="H75" s="79"/>
      <c r="I75" s="85"/>
      <c r="J75" s="79"/>
      <c r="K75" s="101"/>
      <c r="O75" s="132"/>
    </row>
    <row r="76" spans="1:15" ht="16.5" thickBot="1">
      <c r="A76" s="64"/>
      <c r="B76" s="135">
        <v>7</v>
      </c>
      <c r="C76" s="143"/>
      <c r="D76" s="144">
        <f>SUM(82,12)*10</f>
        <v>940</v>
      </c>
      <c r="E76" s="145">
        <v>979</v>
      </c>
      <c r="F76" s="144">
        <v>944</v>
      </c>
      <c r="G76" s="146">
        <f t="shared" si="3"/>
        <v>4.148936170212766</v>
      </c>
      <c r="H76" s="145">
        <f>SUM(31,58)*10</f>
        <v>890</v>
      </c>
      <c r="I76" s="144">
        <v>933</v>
      </c>
      <c r="J76" s="147">
        <v>991</v>
      </c>
      <c r="K76" s="101">
        <f t="shared" si="4"/>
        <v>4.831460674157303</v>
      </c>
      <c r="M76" s="60">
        <v>963</v>
      </c>
      <c r="O76" s="132"/>
    </row>
    <row r="77" spans="1:13" ht="15.75" hidden="1">
      <c r="A77" s="64"/>
      <c r="B77" s="189" t="s">
        <v>85</v>
      </c>
      <c r="C77" s="190"/>
      <c r="D77" s="141">
        <f>SUM(510,190)</f>
        <v>700</v>
      </c>
      <c r="E77" s="142">
        <v>736</v>
      </c>
      <c r="F77" s="141">
        <v>743</v>
      </c>
      <c r="G77" s="100">
        <f t="shared" si="3"/>
        <v>5.142857142857142</v>
      </c>
      <c r="H77" s="142">
        <f>SUM(80,110)</f>
        <v>190</v>
      </c>
      <c r="I77" s="141">
        <v>275</v>
      </c>
      <c r="J77" s="142">
        <v>301</v>
      </c>
      <c r="K77" s="99">
        <f t="shared" si="4"/>
        <v>44.73684210526316</v>
      </c>
      <c r="M77" s="60">
        <v>405</v>
      </c>
    </row>
    <row r="78" spans="1:11" ht="16.5" thickBot="1">
      <c r="A78" s="64"/>
      <c r="B78" s="61"/>
      <c r="C78" s="148" t="s">
        <v>92</v>
      </c>
      <c r="D78" s="149"/>
      <c r="E78" s="149"/>
      <c r="F78" s="149"/>
      <c r="G78" s="149"/>
      <c r="H78" s="149"/>
      <c r="I78" s="149"/>
      <c r="J78" s="150"/>
      <c r="K78" s="61"/>
    </row>
    <row r="79" spans="2:11" ht="15.75">
      <c r="B79" s="61" t="s">
        <v>84</v>
      </c>
      <c r="C79" s="140"/>
      <c r="D79" s="140"/>
      <c r="E79" s="140"/>
      <c r="F79" s="140"/>
      <c r="G79" s="61"/>
      <c r="H79" s="61"/>
      <c r="I79" s="61"/>
      <c r="J79" s="61"/>
      <c r="K79" s="61"/>
    </row>
    <row r="80" spans="2:11" ht="15.75">
      <c r="B80" s="61"/>
      <c r="C80" s="140"/>
      <c r="D80" s="140"/>
      <c r="E80" s="140"/>
      <c r="F80" s="140"/>
      <c r="G80" s="61"/>
      <c r="H80" s="61"/>
      <c r="I80" s="61"/>
      <c r="J80" s="61"/>
      <c r="K80" s="61"/>
    </row>
    <row r="81" ht="15.75">
      <c r="C81" s="140"/>
    </row>
  </sheetData>
  <sheetProtection/>
  <mergeCells count="13">
    <mergeCell ref="L3:N3"/>
    <mergeCell ref="D4:F4"/>
    <mergeCell ref="H4:J4"/>
    <mergeCell ref="B77:C77"/>
    <mergeCell ref="B2:K2"/>
    <mergeCell ref="B3:B5"/>
    <mergeCell ref="C3:C5"/>
    <mergeCell ref="D3:G3"/>
    <mergeCell ref="H3:K3"/>
    <mergeCell ref="G4:G5"/>
    <mergeCell ref="K4:K5"/>
    <mergeCell ref="L4:M4"/>
    <mergeCell ref="N4:N5"/>
  </mergeCells>
  <printOptions horizontalCentered="1"/>
  <pageMargins left="0.9" right="0.75" top="0.87" bottom="0.84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WEB-2</dc:creator>
  <cp:keywords/>
  <dc:description/>
  <cp:lastModifiedBy>WEB-2</cp:lastModifiedBy>
  <cp:lastPrinted>2013-02-07T06:28:11Z</cp:lastPrinted>
  <dcterms:created xsi:type="dcterms:W3CDTF">2011-07-06T06:38:53Z</dcterms:created>
  <dcterms:modified xsi:type="dcterms:W3CDTF">2013-04-04T11:29:59Z</dcterms:modified>
  <cp:category/>
  <cp:version/>
  <cp:contentType/>
  <cp:contentStatus/>
</cp:coreProperties>
</file>