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9570" windowHeight="5190"/>
  </bookViews>
  <sheets>
    <sheet name="T 24.5" sheetId="1" r:id="rId1"/>
    <sheet name="Sheet1" sheetId="2" state="hidden" r:id="rId2"/>
    <sheet name="Sheet2" sheetId="3" state="hidden" r:id="rId3"/>
  </sheets>
  <externalReferences>
    <externalReference r:id="rId4"/>
  </externalReferences>
  <definedNames>
    <definedName name="\x">#N/A</definedName>
    <definedName name="\z">#N/A</definedName>
    <definedName name="_Regression_Int" localSheetId="0" hidden="1">1</definedName>
    <definedName name="_xlnm.Print_Area" localSheetId="0">'T 24.5'!$A$1:$J$38</definedName>
    <definedName name="Print_Area_MI" localSheetId="0">'T 24.5'!$A$1:$J$40</definedName>
  </definedNames>
  <calcPr calcId="152511"/>
</workbook>
</file>

<file path=xl/calcChain.xml><?xml version="1.0" encoding="utf-8"?>
<calcChain xmlns="http://schemas.openxmlformats.org/spreadsheetml/2006/main">
  <c r="E34" i="1" l="1"/>
  <c r="D34" i="1" l="1"/>
  <c r="G34" i="1"/>
  <c r="G33" i="1"/>
  <c r="G32" i="1"/>
  <c r="E7" i="2"/>
  <c r="E5" i="2"/>
  <c r="E3" i="2"/>
  <c r="G31" i="1"/>
  <c r="F25" i="1"/>
  <c r="E25" i="1"/>
  <c r="G25" i="1"/>
  <c r="D25" i="1"/>
  <c r="G27" i="1"/>
  <c r="G28" i="1"/>
  <c r="G29" i="1"/>
  <c r="G30" i="1"/>
  <c r="C3" i="2"/>
  <c r="C5" i="2"/>
  <c r="D3" i="2"/>
  <c r="D5" i="2"/>
  <c r="C7" i="2"/>
  <c r="C13" i="2"/>
  <c r="C14" i="2"/>
  <c r="D7" i="2"/>
  <c r="C8" i="2"/>
  <c r="D8" i="2"/>
  <c r="C12" i="2"/>
  <c r="D12" i="2"/>
  <c r="D13" i="2"/>
  <c r="D14" i="2"/>
  <c r="C17" i="2"/>
  <c r="D17" i="2"/>
  <c r="C18" i="2"/>
  <c r="C21" i="2"/>
  <c r="C25" i="2"/>
  <c r="D18" i="2"/>
  <c r="D21" i="2"/>
  <c r="D25" i="2"/>
  <c r="C40" i="2"/>
  <c r="D40" i="2"/>
  <c r="C41" i="2"/>
  <c r="D41" i="2"/>
  <c r="C42" i="2"/>
  <c r="D42" i="2"/>
  <c r="C44" i="2"/>
  <c r="D44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H82" i="2"/>
  <c r="K82" i="2"/>
  <c r="H83" i="2"/>
  <c r="K83" i="2"/>
  <c r="H84" i="2"/>
  <c r="K84" i="2"/>
  <c r="H85" i="2"/>
  <c r="K85" i="2"/>
  <c r="H86" i="2"/>
  <c r="K86" i="2"/>
  <c r="H87" i="2"/>
  <c r="K87" i="2"/>
  <c r="K88" i="2"/>
  <c r="K89" i="2"/>
  <c r="K90" i="2"/>
  <c r="K91" i="2"/>
  <c r="C92" i="2"/>
  <c r="D92" i="2"/>
  <c r="F92" i="2"/>
  <c r="G92" i="2"/>
  <c r="E92" i="2"/>
  <c r="H92" i="2"/>
  <c r="I92" i="2"/>
  <c r="L92" i="2"/>
  <c r="C93" i="2"/>
  <c r="J93" i="2"/>
  <c r="D93" i="2"/>
  <c r="E93" i="2"/>
  <c r="K93" i="2"/>
  <c r="F93" i="2"/>
  <c r="G93" i="2"/>
  <c r="C94" i="2"/>
  <c r="D94" i="2"/>
  <c r="K94" i="2"/>
  <c r="F94" i="2"/>
  <c r="E94" i="2"/>
  <c r="G94" i="2"/>
  <c r="J94" i="2"/>
  <c r="L94" i="2"/>
  <c r="C95" i="2"/>
  <c r="D95" i="2"/>
  <c r="E95" i="2"/>
  <c r="F95" i="2"/>
  <c r="K95" i="2"/>
  <c r="J95" i="2"/>
  <c r="L95" i="2"/>
  <c r="C96" i="2"/>
  <c r="D96" i="2"/>
  <c r="E96" i="2"/>
  <c r="F96" i="2"/>
  <c r="L96" i="2"/>
  <c r="C97" i="2"/>
  <c r="D97" i="2"/>
  <c r="E97" i="2"/>
  <c r="F97" i="2"/>
  <c r="J97" i="2"/>
  <c r="K97" i="2"/>
  <c r="L97" i="2"/>
  <c r="D98" i="2"/>
  <c r="E98" i="2"/>
  <c r="F98" i="2"/>
  <c r="K98" i="2"/>
  <c r="J98" i="2"/>
  <c r="D99" i="2"/>
  <c r="E99" i="2"/>
  <c r="K99" i="2"/>
  <c r="F99" i="2"/>
  <c r="J99" i="2"/>
  <c r="L99" i="2"/>
  <c r="D100" i="2"/>
  <c r="E100" i="2"/>
  <c r="K100" i="2"/>
  <c r="F100" i="2"/>
  <c r="J100" i="2"/>
  <c r="L100" i="2"/>
  <c r="D101" i="2"/>
  <c r="E101" i="2"/>
  <c r="K101" i="2"/>
  <c r="F101" i="2"/>
  <c r="J101" i="2"/>
  <c r="L101" i="2"/>
  <c r="D102" i="2"/>
  <c r="F102" i="2"/>
  <c r="J102" i="2"/>
  <c r="K102" i="2"/>
  <c r="L104" i="2"/>
  <c r="L102" i="2"/>
  <c r="D103" i="2"/>
  <c r="E103" i="2"/>
  <c r="K103" i="2"/>
  <c r="F103" i="2"/>
  <c r="H103" i="2"/>
  <c r="J103" i="2"/>
  <c r="L103" i="2"/>
  <c r="E105" i="2"/>
  <c r="K92" i="2"/>
  <c r="J92" i="2"/>
  <c r="J96" i="2"/>
  <c r="K96" i="2"/>
</calcChain>
</file>

<file path=xl/sharedStrings.xml><?xml version="1.0" encoding="utf-8"?>
<sst xmlns="http://schemas.openxmlformats.org/spreadsheetml/2006/main" count="208" uniqueCount="154">
  <si>
    <t xml:space="preserve"> </t>
  </si>
  <si>
    <t>Other</t>
  </si>
  <si>
    <t xml:space="preserve"> Year</t>
  </si>
  <si>
    <t xml:space="preserve">          Assets</t>
  </si>
  <si>
    <t>Total lia-</t>
  </si>
  <si>
    <t xml:space="preserve"> _________________________________</t>
  </si>
  <si>
    <t>Paid-up</t>
  </si>
  <si>
    <t>Bonds &amp;</t>
  </si>
  <si>
    <t>Borrow-</t>
  </si>
  <si>
    <t>bilities</t>
  </si>
  <si>
    <t>Cash in</t>
  </si>
  <si>
    <t>Loans</t>
  </si>
  <si>
    <t>deben-</t>
  </si>
  <si>
    <t>ings</t>
  </si>
  <si>
    <t>liabil-</t>
  </si>
  <si>
    <t>or assets</t>
  </si>
  <si>
    <t>hand &amp;</t>
  </si>
  <si>
    <t>and</t>
  </si>
  <si>
    <t>assets</t>
  </si>
  <si>
    <t>tures</t>
  </si>
  <si>
    <t>ities(2)</t>
  </si>
  <si>
    <t>balances</t>
  </si>
  <si>
    <t>advances</t>
  </si>
  <si>
    <t>4</t>
  </si>
  <si>
    <t>5</t>
  </si>
  <si>
    <t>6</t>
  </si>
  <si>
    <t>7</t>
  </si>
  <si>
    <t>8</t>
  </si>
  <si>
    <t>9</t>
  </si>
  <si>
    <t>10</t>
  </si>
  <si>
    <t xml:space="preserve"> BANKS</t>
  </si>
  <si>
    <t>Liabilities</t>
  </si>
  <si>
    <t>Capital</t>
  </si>
  <si>
    <t xml:space="preserve">  </t>
  </si>
  <si>
    <t>Reserves</t>
  </si>
  <si>
    <t xml:space="preserve"> Source: IFCI Limited.</t>
  </si>
  <si>
    <t xml:space="preserve">  (As on 31st March)</t>
  </si>
  <si>
    <t>Note:- Totals may not tally due to rounding off of the figures.</t>
  </si>
  <si>
    <t>2006-07</t>
  </si>
  <si>
    <t>2007-08</t>
  </si>
  <si>
    <t>2008-09</t>
  </si>
  <si>
    <t>2009-10</t>
  </si>
  <si>
    <t xml:space="preserve">  Table 24.5 -LIABILITIES AND ASSETS OF I FCI  Limited</t>
  </si>
  <si>
    <t>2010-11</t>
  </si>
  <si>
    <t>2011-12</t>
  </si>
  <si>
    <t>with banks</t>
  </si>
  <si>
    <t>2012-13</t>
  </si>
  <si>
    <t>2013-14</t>
  </si>
  <si>
    <t>Year</t>
  </si>
  <si>
    <t>LIABILITIES</t>
  </si>
  <si>
    <t>(RS.CRORES)</t>
  </si>
  <si>
    <t>Reserve</t>
  </si>
  <si>
    <t>Long term</t>
  </si>
  <si>
    <t>Provision</t>
  </si>
  <si>
    <t>Bonds and</t>
  </si>
  <si>
    <t>Borrowings</t>
  </si>
  <si>
    <t>Total</t>
  </si>
  <si>
    <t>capital</t>
  </si>
  <si>
    <t xml:space="preserve">Funds'   </t>
  </si>
  <si>
    <t>Quasi</t>
  </si>
  <si>
    <t xml:space="preserve">for </t>
  </si>
  <si>
    <t>for</t>
  </si>
  <si>
    <t>debentures</t>
  </si>
  <si>
    <t>liabilities</t>
  </si>
  <si>
    <t>Liabilities/</t>
  </si>
  <si>
    <t xml:space="preserve">Equity </t>
  </si>
  <si>
    <t>doubtful</t>
  </si>
  <si>
    <t>Taxation</t>
  </si>
  <si>
    <t>LIC,UTI,</t>
  </si>
  <si>
    <t>Govern-</t>
  </si>
  <si>
    <t>RBI</t>
  </si>
  <si>
    <t>IDBI</t>
  </si>
  <si>
    <t>From</t>
  </si>
  <si>
    <t>In Foreign</t>
  </si>
  <si>
    <t>Assets</t>
  </si>
  <si>
    <t>Fund</t>
  </si>
  <si>
    <t>debts</t>
  </si>
  <si>
    <t>GIC ETC.</t>
  </si>
  <si>
    <t>ment.</t>
  </si>
  <si>
    <t>CDs</t>
  </si>
  <si>
    <t>currency</t>
  </si>
  <si>
    <t>(2 to 14)</t>
  </si>
  <si>
    <t>(Rs.crores)</t>
  </si>
  <si>
    <t xml:space="preserve">Cash in </t>
  </si>
  <si>
    <t>Investments</t>
  </si>
  <si>
    <t>Loans and</t>
  </si>
  <si>
    <t>Fixed</t>
  </si>
  <si>
    <t>Contingent</t>
  </si>
  <si>
    <t>hand and</t>
  </si>
  <si>
    <t>Govt.</t>
  </si>
  <si>
    <t>Shares/</t>
  </si>
  <si>
    <t>Bonds/</t>
  </si>
  <si>
    <t>Subscription</t>
  </si>
  <si>
    <t>liabilities on</t>
  </si>
  <si>
    <t xml:space="preserve">deposits </t>
  </si>
  <si>
    <t>securities</t>
  </si>
  <si>
    <t>Stocks/</t>
  </si>
  <si>
    <t>Debentures</t>
  </si>
  <si>
    <t>to initial capital</t>
  </si>
  <si>
    <t>account of</t>
  </si>
  <si>
    <t xml:space="preserve">with banks/ </t>
  </si>
  <si>
    <t>Units</t>
  </si>
  <si>
    <t>of UTI, IIBI,</t>
  </si>
  <si>
    <t>guarantees</t>
  </si>
  <si>
    <t>others</t>
  </si>
  <si>
    <t>IDBI etc.</t>
  </si>
  <si>
    <t xml:space="preserve">and </t>
  </si>
  <si>
    <t>underwriting</t>
  </si>
  <si>
    <t>agreement</t>
  </si>
  <si>
    <t>Bonds</t>
  </si>
  <si>
    <t>NCDs</t>
  </si>
  <si>
    <t>Frm CDs</t>
  </si>
  <si>
    <t>In FC</t>
  </si>
  <si>
    <t>Jute Development Fund</t>
  </si>
  <si>
    <t>Other Borrowings</t>
  </si>
  <si>
    <t>Other Liabilities</t>
  </si>
  <si>
    <t>FY 2012-13</t>
  </si>
  <si>
    <t>FY 2013-14</t>
  </si>
  <si>
    <t>Loans and Advances</t>
  </si>
  <si>
    <t>Fixed assets</t>
  </si>
  <si>
    <t>Other Assets</t>
  </si>
  <si>
    <t>Short Term Borrowing</t>
  </si>
  <si>
    <t>TABLE 94:  LIABILITIES AND ASSETS OF IFCI (Contd.)</t>
  </si>
  <si>
    <t>$</t>
  </si>
  <si>
    <t>Represent Special Reserve Fund and other Reserves.</t>
  </si>
  <si>
    <t>Note:</t>
  </si>
  <si>
    <t>With effect from August 1980 'Reserve for doubtful dates' is netted against 'Loans and Advances'</t>
  </si>
  <si>
    <t>Sources:</t>
  </si>
  <si>
    <t>IFCI LTD.</t>
  </si>
  <si>
    <t>TABLE 11.5:  LIABILITIES AND ASSETS OF IFCI</t>
  </si>
  <si>
    <t>(Rs.million)</t>
  </si>
  <si>
    <t>ASSETS</t>
  </si>
  <si>
    <t>Total Liabilities</t>
  </si>
  <si>
    <t>(1)</t>
  </si>
  <si>
    <t>Minus</t>
  </si>
  <si>
    <t>(2)</t>
  </si>
  <si>
    <t>(3)</t>
  </si>
  <si>
    <t>Total Assets</t>
  </si>
  <si>
    <t xml:space="preserve">Represents special and other reserve funds and specific grants from Govt. of India in terms of agreement with </t>
  </si>
  <si>
    <t>Kreditanstalt fur Wiederaufbau (KFW), a German Bank. Reserves are inclusive of Revaluation Reserve w.e.f. FY 2000-01</t>
  </si>
  <si>
    <t>includes provisions for taxation</t>
  </si>
  <si>
    <t>Other assets are inclusive of Deferred Tax Assets, Accumulated Losses, Misc. Expenses etc.</t>
  </si>
  <si>
    <t>Note: Totals may not tally due to rounding off of the figures</t>
  </si>
  <si>
    <t>2014-15</t>
  </si>
  <si>
    <t>FY 2014-15</t>
  </si>
  <si>
    <r>
      <t xml:space="preserve">(Rs. </t>
    </r>
    <r>
      <rPr>
        <b/>
        <sz val="10"/>
        <rFont val="Times New Roman"/>
        <family val="1"/>
      </rPr>
      <t>Million)</t>
    </r>
  </si>
  <si>
    <t>2015-16</t>
  </si>
  <si>
    <t>2016-17</t>
  </si>
  <si>
    <t>2004-05</t>
  </si>
  <si>
    <t>2005-06</t>
  </si>
  <si>
    <t>2003-04</t>
  </si>
  <si>
    <t>2002-03</t>
  </si>
  <si>
    <t>2001-02</t>
  </si>
  <si>
    <t>2000-01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</si>
</sst>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0"/>
      <name val="Courie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Rupee Foradian"/>
      <family val="2"/>
    </font>
    <font>
      <sz val="10"/>
      <name val="Courier"/>
      <family val="3"/>
    </font>
    <font>
      <sz val="12"/>
      <name val="Times New Roman"/>
      <family val="1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Courier"/>
      <family val="3"/>
    </font>
    <font>
      <b/>
      <sz val="14"/>
      <name val="Arial"/>
      <family val="2"/>
    </font>
    <font>
      <sz val="10"/>
      <color rgb="FFFF000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4" fillId="2" borderId="1" xfId="0" applyFont="1" applyFill="1" applyBorder="1" applyAlignment="1" applyProtection="1">
      <alignment horizontal="left"/>
    </xf>
    <xf numFmtId="0" fontId="4" fillId="2" borderId="1" xfId="0" applyFont="1" applyFill="1" applyBorder="1"/>
    <xf numFmtId="0" fontId="2" fillId="2" borderId="1" xfId="0" applyFont="1" applyFill="1" applyBorder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 applyProtection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/>
    <xf numFmtId="0" fontId="2" fillId="2" borderId="8" xfId="0" applyFont="1" applyFill="1" applyBorder="1" applyAlignment="1" applyProtection="1">
      <alignment horizontal="left"/>
    </xf>
    <xf numFmtId="0" fontId="2" fillId="2" borderId="9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6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right"/>
    </xf>
    <xf numFmtId="49" fontId="4" fillId="2" borderId="0" xfId="0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 applyProtection="1">
      <alignment horizontal="left"/>
    </xf>
    <xf numFmtId="0" fontId="4" fillId="2" borderId="9" xfId="0" applyFont="1" applyFill="1" applyBorder="1"/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right"/>
    </xf>
    <xf numFmtId="0" fontId="2" fillId="3" borderId="0" xfId="0" applyFont="1" applyFill="1" applyBorder="1"/>
    <xf numFmtId="0" fontId="2" fillId="3" borderId="7" xfId="0" applyFont="1" applyFill="1" applyBorder="1"/>
    <xf numFmtId="0" fontId="2" fillId="3" borderId="6" xfId="0" applyFont="1" applyFill="1" applyBorder="1"/>
    <xf numFmtId="0" fontId="8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6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/>
    <xf numFmtId="2" fontId="12" fillId="0" borderId="0" xfId="0" applyNumberFormat="1" applyFont="1" applyAlignment="1">
      <alignment horizontal="center" wrapText="1"/>
    </xf>
    <xf numFmtId="0" fontId="0" fillId="0" borderId="1" xfId="0" applyBorder="1"/>
    <xf numFmtId="0" fontId="9" fillId="0" borderId="17" xfId="0" applyFont="1" applyBorder="1"/>
    <xf numFmtId="0" fontId="9" fillId="0" borderId="2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0" fillId="0" borderId="23" xfId="0" applyBorder="1" applyAlignment="1">
      <alignment horizontal="right"/>
    </xf>
    <xf numFmtId="1" fontId="0" fillId="0" borderId="23" xfId="0" applyNumberFormat="1" applyBorder="1" applyAlignment="1">
      <alignment horizontal="right"/>
    </xf>
    <xf numFmtId="0" fontId="0" fillId="0" borderId="23" xfId="0" applyBorder="1"/>
    <xf numFmtId="1" fontId="0" fillId="0" borderId="23" xfId="0" applyNumberFormat="1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2" fontId="0" fillId="0" borderId="23" xfId="0" applyNumberFormat="1" applyFill="1" applyBorder="1" applyAlignment="1">
      <alignment horizontal="right"/>
    </xf>
    <xf numFmtId="164" fontId="0" fillId="0" borderId="23" xfId="0" applyNumberFormat="1" applyFill="1" applyBorder="1" applyAlignment="1">
      <alignment horizontal="right"/>
    </xf>
    <xf numFmtId="0" fontId="9" fillId="0" borderId="0" xfId="0" applyFont="1"/>
    <xf numFmtId="2" fontId="9" fillId="0" borderId="0" xfId="0" applyNumberFormat="1" applyFont="1"/>
    <xf numFmtId="1" fontId="9" fillId="0" borderId="0" xfId="0" applyNumberFormat="1" applyFont="1"/>
    <xf numFmtId="0" fontId="2" fillId="3" borderId="23" xfId="0" applyFont="1" applyFill="1" applyBorder="1" applyAlignment="1" applyProtection="1">
      <alignment horizontal="left"/>
    </xf>
    <xf numFmtId="0" fontId="2" fillId="3" borderId="23" xfId="0" applyNumberFormat="1" applyFont="1" applyFill="1" applyBorder="1" applyAlignment="1" applyProtection="1">
      <alignment horizontal="right"/>
    </xf>
    <xf numFmtId="0" fontId="4" fillId="3" borderId="23" xfId="0" applyNumberFormat="1" applyFont="1" applyFill="1" applyBorder="1" applyAlignment="1" applyProtection="1">
      <alignment horizontal="right"/>
    </xf>
    <xf numFmtId="0" fontId="2" fillId="4" borderId="23" xfId="0" applyFont="1" applyFill="1" applyBorder="1" applyAlignment="1" applyProtection="1">
      <alignment horizontal="left"/>
    </xf>
    <xf numFmtId="0" fontId="2" fillId="4" borderId="23" xfId="0" applyFont="1" applyFill="1" applyBorder="1" applyAlignment="1">
      <alignment horizontal="right"/>
    </xf>
    <xf numFmtId="0" fontId="4" fillId="4" borderId="23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right"/>
    </xf>
    <xf numFmtId="0" fontId="4" fillId="3" borderId="23" xfId="0" applyFont="1" applyFill="1" applyBorder="1" applyAlignment="1">
      <alignment horizontal="right"/>
    </xf>
    <xf numFmtId="1" fontId="4" fillId="3" borderId="23" xfId="0" applyNumberFormat="1" applyFont="1" applyFill="1" applyBorder="1" applyAlignment="1">
      <alignment horizontal="right"/>
    </xf>
    <xf numFmtId="0" fontId="2" fillId="4" borderId="23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1" fontId="2" fillId="3" borderId="23" xfId="0" applyNumberFormat="1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2" fillId="4" borderId="23" xfId="0" applyFont="1" applyFill="1" applyBorder="1" applyAlignment="1" applyProtection="1">
      <alignment horizontal="right"/>
    </xf>
    <xf numFmtId="0" fontId="2" fillId="3" borderId="23" xfId="0" applyFont="1" applyFill="1" applyBorder="1" applyAlignment="1" applyProtection="1">
      <alignment horizontal="right"/>
    </xf>
    <xf numFmtId="1" fontId="2" fillId="3" borderId="23" xfId="0" applyNumberFormat="1" applyFont="1" applyFill="1" applyBorder="1" applyAlignment="1" applyProtection="1">
      <alignment horizontal="right"/>
    </xf>
    <xf numFmtId="1" fontId="4" fillId="4" borderId="23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left"/>
    </xf>
    <xf numFmtId="0" fontId="0" fillId="0" borderId="0" xfId="0" applyFill="1"/>
    <xf numFmtId="2" fontId="2" fillId="0" borderId="0" xfId="0" applyNumberFormat="1" applyFont="1" applyFill="1"/>
    <xf numFmtId="1" fontId="2" fillId="4" borderId="23" xfId="0" applyNumberFormat="1" applyFont="1" applyFill="1" applyBorder="1" applyAlignment="1">
      <alignment horizontal="right"/>
    </xf>
    <xf numFmtId="0" fontId="3" fillId="2" borderId="6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37" fontId="4" fillId="3" borderId="6" xfId="0" applyNumberFormat="1" applyFont="1" applyFill="1" applyBorder="1" applyAlignment="1" applyProtection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5" fillId="2" borderId="6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/>
    <xf numFmtId="0" fontId="4" fillId="2" borderId="7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9" fillId="0" borderId="13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onam/AppData/Local/Microsoft/Windows/Temporary%20Internet%20Files/Content.Outlook/NHS7DC58/Statistics%20on%20Indian%20Econom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ab"/>
      <sheetName val="Assets"/>
      <sheetName val="Table 11.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9" transitionEvaluation="1"/>
  <dimension ref="A1:T62"/>
  <sheetViews>
    <sheetView showGridLines="0" tabSelected="1" topLeftCell="A19" zoomScaleSheetLayoutView="100" workbookViewId="0">
      <selection activeCell="A20" sqref="A20"/>
    </sheetView>
  </sheetViews>
  <sheetFormatPr defaultColWidth="9.625" defaultRowHeight="12.75"/>
  <cols>
    <col min="1" max="1" width="9.25" style="1" customWidth="1"/>
    <col min="2" max="2" width="9.5" style="1" customWidth="1"/>
    <col min="3" max="3" width="8.25" style="1" customWidth="1"/>
    <col min="4" max="4" width="8.125" style="1" customWidth="1"/>
    <col min="5" max="5" width="7.75" style="1" customWidth="1"/>
    <col min="6" max="7" width="8.875" style="1" customWidth="1"/>
    <col min="8" max="8" width="8.5" style="1" customWidth="1"/>
    <col min="9" max="9" width="8.25" style="1" customWidth="1"/>
    <col min="10" max="10" width="9.375" style="1" customWidth="1"/>
    <col min="11" max="11" width="10.625" style="92" customWidth="1"/>
    <col min="12" max="22" width="9.625" style="92"/>
    <col min="23" max="23" width="50.625" style="92" customWidth="1"/>
    <col min="24" max="24" width="9.625" style="92"/>
    <col min="25" max="25" width="50.625" style="92" customWidth="1"/>
    <col min="26" max="16384" width="9.625" style="92"/>
  </cols>
  <sheetData>
    <row r="1" spans="1:11">
      <c r="A1" s="11"/>
      <c r="B1" s="12"/>
      <c r="C1" s="12"/>
      <c r="D1" s="12"/>
      <c r="E1" s="12"/>
      <c r="F1" s="12"/>
      <c r="G1" s="12"/>
      <c r="H1" s="12"/>
      <c r="I1" s="12"/>
      <c r="J1" s="13"/>
    </row>
    <row r="2" spans="1:11">
      <c r="A2" s="14"/>
      <c r="B2" s="15"/>
      <c r="C2" s="15"/>
      <c r="D2" s="15"/>
      <c r="E2" s="15"/>
      <c r="F2" s="15"/>
      <c r="G2" s="15"/>
      <c r="H2" s="15"/>
      <c r="I2" s="15"/>
      <c r="J2" s="16"/>
    </row>
    <row r="3" spans="1:11" ht="15.75">
      <c r="A3" s="100" t="s">
        <v>30</v>
      </c>
      <c r="B3" s="101"/>
      <c r="C3" s="101"/>
      <c r="D3" s="102"/>
      <c r="E3" s="102"/>
      <c r="F3" s="102"/>
      <c r="G3" s="102"/>
      <c r="H3" s="102"/>
      <c r="I3" s="102"/>
      <c r="J3" s="103"/>
    </row>
    <row r="4" spans="1:11" ht="15.75">
      <c r="A4" s="17"/>
      <c r="B4" s="18"/>
      <c r="C4" s="18"/>
      <c r="D4" s="18"/>
      <c r="E4" s="18"/>
      <c r="F4" s="18"/>
      <c r="G4" s="18"/>
      <c r="H4" s="18"/>
      <c r="I4" s="18"/>
      <c r="J4" s="19"/>
    </row>
    <row r="5" spans="1:11" ht="15.75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1" ht="15.75">
      <c r="A6" s="100" t="s">
        <v>42</v>
      </c>
      <c r="B6" s="101"/>
      <c r="C6" s="101"/>
      <c r="D6" s="102"/>
      <c r="E6" s="102"/>
      <c r="F6" s="102"/>
      <c r="G6" s="102"/>
      <c r="H6" s="102"/>
      <c r="I6" s="102"/>
      <c r="J6" s="103"/>
    </row>
    <row r="7" spans="1:11" ht="15.75">
      <c r="A7" s="100" t="s">
        <v>36</v>
      </c>
      <c r="B7" s="101"/>
      <c r="C7" s="101"/>
      <c r="D7" s="102"/>
      <c r="E7" s="102"/>
      <c r="F7" s="102"/>
      <c r="G7" s="102"/>
      <c r="H7" s="102"/>
      <c r="I7" s="102"/>
      <c r="J7" s="103"/>
    </row>
    <row r="8" spans="1:11">
      <c r="A8" s="110" t="s">
        <v>145</v>
      </c>
      <c r="B8" s="111"/>
      <c r="C8" s="111"/>
      <c r="D8" s="112"/>
      <c r="E8" s="112"/>
      <c r="F8" s="112"/>
      <c r="G8" s="112"/>
      <c r="H8" s="112"/>
      <c r="I8" s="112"/>
      <c r="J8" s="113"/>
    </row>
    <row r="9" spans="1:11">
      <c r="A9" s="20"/>
      <c r="B9" s="8"/>
      <c r="C9" s="8"/>
      <c r="D9" s="4"/>
      <c r="E9" s="4"/>
      <c r="F9" s="4"/>
      <c r="G9" s="4"/>
      <c r="H9" s="4"/>
      <c r="I9" s="4"/>
      <c r="J9" s="21"/>
      <c r="K9" s="93"/>
    </row>
    <row r="10" spans="1:11">
      <c r="A10" s="22"/>
      <c r="B10" s="6"/>
      <c r="C10" s="6"/>
      <c r="D10" s="6"/>
      <c r="E10" s="6"/>
      <c r="F10" s="6"/>
      <c r="G10" s="6"/>
      <c r="H10" s="6"/>
      <c r="I10" s="6"/>
      <c r="J10" s="23"/>
      <c r="K10" s="94" t="s">
        <v>0</v>
      </c>
    </row>
    <row r="11" spans="1:11">
      <c r="A11" s="24" t="s">
        <v>0</v>
      </c>
      <c r="B11" s="114" t="s">
        <v>31</v>
      </c>
      <c r="C11" s="115"/>
      <c r="D11" s="115"/>
      <c r="E11" s="115"/>
      <c r="F11" s="115"/>
      <c r="G11" s="6"/>
      <c r="H11" s="116" t="s">
        <v>3</v>
      </c>
      <c r="I11" s="115"/>
      <c r="J11" s="115"/>
      <c r="K11" s="96" t="s">
        <v>0</v>
      </c>
    </row>
    <row r="12" spans="1:11">
      <c r="A12" s="24" t="s">
        <v>2</v>
      </c>
      <c r="B12" s="2"/>
      <c r="C12" s="2"/>
      <c r="D12" s="3"/>
      <c r="E12" s="3"/>
      <c r="F12" s="2" t="s">
        <v>0</v>
      </c>
      <c r="G12" s="4"/>
      <c r="H12" s="5" t="s">
        <v>5</v>
      </c>
      <c r="I12" s="6"/>
      <c r="J12" s="6"/>
      <c r="K12" s="95" t="s">
        <v>0</v>
      </c>
    </row>
    <row r="13" spans="1:11">
      <c r="A13" s="24" t="s">
        <v>0</v>
      </c>
      <c r="B13" s="5" t="s">
        <v>6</v>
      </c>
      <c r="C13" s="5" t="s">
        <v>34</v>
      </c>
      <c r="D13" s="7" t="s">
        <v>7</v>
      </c>
      <c r="E13" s="7" t="s">
        <v>8</v>
      </c>
      <c r="F13" s="7" t="s">
        <v>1</v>
      </c>
      <c r="G13" s="7" t="s">
        <v>4</v>
      </c>
      <c r="H13" s="7" t="s">
        <v>10</v>
      </c>
      <c r="I13" s="7" t="s">
        <v>11</v>
      </c>
      <c r="J13" s="87" t="s">
        <v>1</v>
      </c>
      <c r="K13" s="96" t="s">
        <v>0</v>
      </c>
    </row>
    <row r="14" spans="1:11">
      <c r="A14" s="22"/>
      <c r="B14" s="6" t="s">
        <v>32</v>
      </c>
      <c r="C14" s="26" t="s">
        <v>0</v>
      </c>
      <c r="D14" s="7" t="s">
        <v>12</v>
      </c>
      <c r="E14" s="7" t="s">
        <v>13</v>
      </c>
      <c r="F14" s="7" t="s">
        <v>14</v>
      </c>
      <c r="G14" s="7" t="s">
        <v>9</v>
      </c>
      <c r="H14" s="7" t="s">
        <v>16</v>
      </c>
      <c r="I14" s="7" t="s">
        <v>17</v>
      </c>
      <c r="J14" s="25" t="s">
        <v>18</v>
      </c>
      <c r="K14" s="94" t="s">
        <v>0</v>
      </c>
    </row>
    <row r="15" spans="1:11">
      <c r="A15" s="22"/>
      <c r="B15" s="6"/>
      <c r="C15" s="6" t="s">
        <v>33</v>
      </c>
      <c r="D15" s="7" t="s">
        <v>19</v>
      </c>
      <c r="E15" s="6"/>
      <c r="F15" s="7" t="s">
        <v>20</v>
      </c>
      <c r="G15" s="7" t="s">
        <v>15</v>
      </c>
      <c r="H15" s="7" t="s">
        <v>21</v>
      </c>
      <c r="I15" s="7" t="s">
        <v>22</v>
      </c>
      <c r="J15" s="27" t="s">
        <v>0</v>
      </c>
    </row>
    <row r="16" spans="1:11">
      <c r="A16" s="22"/>
      <c r="B16" s="6"/>
      <c r="C16" s="6"/>
      <c r="D16" s="6"/>
      <c r="E16" s="6"/>
      <c r="F16" s="6"/>
      <c r="G16" s="6"/>
      <c r="H16" s="7" t="s">
        <v>45</v>
      </c>
      <c r="I16" s="6"/>
      <c r="J16" s="23"/>
    </row>
    <row r="17" spans="1:12">
      <c r="A17" s="28"/>
      <c r="B17" s="2"/>
      <c r="C17" s="2"/>
      <c r="D17" s="3"/>
      <c r="E17" s="3"/>
      <c r="F17" s="3"/>
      <c r="G17" s="3"/>
      <c r="H17" s="3"/>
      <c r="I17" s="3"/>
      <c r="J17" s="29"/>
    </row>
    <row r="18" spans="1:12" ht="15" customHeight="1">
      <c r="A18" s="30">
        <v>1</v>
      </c>
      <c r="B18" s="9">
        <v>2</v>
      </c>
      <c r="C18" s="9">
        <v>3</v>
      </c>
      <c r="D18" s="10" t="s">
        <v>23</v>
      </c>
      <c r="E18" s="10" t="s">
        <v>24</v>
      </c>
      <c r="F18" s="10" t="s">
        <v>25</v>
      </c>
      <c r="G18" s="10" t="s">
        <v>26</v>
      </c>
      <c r="H18" s="10" t="s">
        <v>27</v>
      </c>
      <c r="I18" s="10" t="s">
        <v>28</v>
      </c>
      <c r="J18" s="31" t="s">
        <v>29</v>
      </c>
      <c r="K18" s="94" t="s">
        <v>0</v>
      </c>
    </row>
    <row r="19" spans="1:12" ht="15" customHeight="1">
      <c r="A19" s="75" t="s">
        <v>153</v>
      </c>
      <c r="B19" s="76">
        <v>10880</v>
      </c>
      <c r="C19" s="76">
        <v>5051</v>
      </c>
      <c r="D19" s="76">
        <v>154805</v>
      </c>
      <c r="E19" s="76">
        <v>45068</v>
      </c>
      <c r="F19" s="76">
        <v>11984</v>
      </c>
      <c r="G19" s="77">
        <v>227788</v>
      </c>
      <c r="H19" s="76">
        <v>6611</v>
      </c>
      <c r="I19" s="76">
        <v>161578</v>
      </c>
      <c r="J19" s="76">
        <v>59599</v>
      </c>
    </row>
    <row r="20" spans="1:12" ht="15" customHeight="1">
      <c r="A20" s="78" t="s">
        <v>152</v>
      </c>
      <c r="B20" s="88">
        <v>10680</v>
      </c>
      <c r="C20" s="88">
        <v>4977</v>
      </c>
      <c r="D20" s="79">
        <v>159004</v>
      </c>
      <c r="E20" s="79">
        <v>38383</v>
      </c>
      <c r="F20" s="79">
        <v>13513</v>
      </c>
      <c r="G20" s="80">
        <v>226556</v>
      </c>
      <c r="H20" s="79">
        <v>2199</v>
      </c>
      <c r="I20" s="79">
        <v>147516</v>
      </c>
      <c r="J20" s="79">
        <v>76841</v>
      </c>
    </row>
    <row r="21" spans="1:12" ht="15" customHeight="1">
      <c r="A21" s="75" t="s">
        <v>151</v>
      </c>
      <c r="B21" s="89">
        <v>10680</v>
      </c>
      <c r="C21" s="89">
        <v>4697</v>
      </c>
      <c r="D21" s="81">
        <v>157666</v>
      </c>
      <c r="E21" s="81">
        <v>43820</v>
      </c>
      <c r="F21" s="81">
        <v>11801</v>
      </c>
      <c r="G21" s="82">
        <v>228663</v>
      </c>
      <c r="H21" s="81">
        <v>4133</v>
      </c>
      <c r="I21" s="81">
        <v>132128</v>
      </c>
      <c r="J21" s="81">
        <v>92402</v>
      </c>
    </row>
    <row r="22" spans="1:12" ht="15" customHeight="1">
      <c r="A22" s="78" t="s">
        <v>150</v>
      </c>
      <c r="B22" s="88">
        <v>10680</v>
      </c>
      <c r="C22" s="88">
        <v>4550</v>
      </c>
      <c r="D22" s="79">
        <v>134613</v>
      </c>
      <c r="E22" s="79">
        <v>37184</v>
      </c>
      <c r="F22" s="79">
        <v>15905</v>
      </c>
      <c r="G22" s="80">
        <v>202931</v>
      </c>
      <c r="H22" s="79">
        <v>1225</v>
      </c>
      <c r="I22" s="79">
        <v>100988</v>
      </c>
      <c r="J22" s="79">
        <v>100718</v>
      </c>
    </row>
    <row r="23" spans="1:12" ht="15" customHeight="1">
      <c r="A23" s="75" t="s">
        <v>148</v>
      </c>
      <c r="B23" s="89">
        <v>10680</v>
      </c>
      <c r="C23" s="89">
        <v>4474</v>
      </c>
      <c r="D23" s="81">
        <v>116290</v>
      </c>
      <c r="E23" s="81">
        <v>33520</v>
      </c>
      <c r="F23" s="81">
        <v>12392</v>
      </c>
      <c r="G23" s="82">
        <v>177355</v>
      </c>
      <c r="H23" s="81">
        <v>1996</v>
      </c>
      <c r="I23" s="81">
        <v>80997</v>
      </c>
      <c r="J23" s="81">
        <v>94362</v>
      </c>
    </row>
    <row r="24" spans="1:12" ht="15" customHeight="1">
      <c r="A24" s="78" t="s">
        <v>149</v>
      </c>
      <c r="B24" s="88">
        <v>10680</v>
      </c>
      <c r="C24" s="88">
        <v>4430</v>
      </c>
      <c r="D24" s="79">
        <v>108064</v>
      </c>
      <c r="E24" s="79">
        <v>28238</v>
      </c>
      <c r="F24" s="79">
        <v>15672</v>
      </c>
      <c r="G24" s="80">
        <v>167084</v>
      </c>
      <c r="H24" s="79">
        <v>10305</v>
      </c>
      <c r="I24" s="79">
        <v>70232</v>
      </c>
      <c r="J24" s="79">
        <v>86547</v>
      </c>
    </row>
    <row r="25" spans="1:12" ht="15" customHeight="1">
      <c r="A25" s="75" t="s">
        <v>38</v>
      </c>
      <c r="B25" s="90">
        <v>10679.5</v>
      </c>
      <c r="C25" s="90">
        <v>8738.4</v>
      </c>
      <c r="D25" s="86">
        <f>(2715.33+5111.39+1479.22+500+400)*10</f>
        <v>102059.40000000001</v>
      </c>
      <c r="E25" s="86">
        <f>(1192.41+1471.78)*10</f>
        <v>26641.9</v>
      </c>
      <c r="F25" s="81">
        <f>(54.15+1447.45)*10</f>
        <v>15016.000000000002</v>
      </c>
      <c r="G25" s="83">
        <f t="shared" ref="G25:G31" si="0">SUM(B25:F25)</f>
        <v>163135.20000000001</v>
      </c>
      <c r="H25" s="76">
        <v>14784</v>
      </c>
      <c r="I25" s="76">
        <v>60518</v>
      </c>
      <c r="J25" s="76">
        <v>87833</v>
      </c>
    </row>
    <row r="26" spans="1:12" ht="15" customHeight="1">
      <c r="A26" s="84" t="s">
        <v>39</v>
      </c>
      <c r="B26" s="79">
        <v>11903</v>
      </c>
      <c r="C26" s="79">
        <v>21346</v>
      </c>
      <c r="D26" s="79">
        <v>83416</v>
      </c>
      <c r="E26" s="79">
        <v>18220</v>
      </c>
      <c r="F26" s="79">
        <v>16904</v>
      </c>
      <c r="G26" s="80">
        <v>151788</v>
      </c>
      <c r="H26" s="79">
        <v>34823</v>
      </c>
      <c r="I26" s="79">
        <v>53554</v>
      </c>
      <c r="J26" s="79">
        <v>63411</v>
      </c>
    </row>
    <row r="27" spans="1:12" ht="15" customHeight="1">
      <c r="A27" s="85" t="s">
        <v>40</v>
      </c>
      <c r="B27" s="81">
        <v>11083</v>
      </c>
      <c r="C27" s="81">
        <v>26325</v>
      </c>
      <c r="D27" s="81">
        <v>79111</v>
      </c>
      <c r="E27" s="81">
        <v>17320</v>
      </c>
      <c r="F27" s="81">
        <v>18874</v>
      </c>
      <c r="G27" s="83">
        <f t="shared" si="0"/>
        <v>152713</v>
      </c>
      <c r="H27" s="81">
        <v>4836</v>
      </c>
      <c r="I27" s="81">
        <v>70199</v>
      </c>
      <c r="J27" s="81">
        <v>77678</v>
      </c>
    </row>
    <row r="28" spans="1:12" ht="15" customHeight="1">
      <c r="A28" s="84" t="s">
        <v>41</v>
      </c>
      <c r="B28" s="79">
        <v>10017</v>
      </c>
      <c r="C28" s="79">
        <v>36081</v>
      </c>
      <c r="D28" s="79">
        <v>82641</v>
      </c>
      <c r="E28" s="79">
        <v>52269</v>
      </c>
      <c r="F28" s="79">
        <v>18455</v>
      </c>
      <c r="G28" s="80">
        <f t="shared" si="0"/>
        <v>199463</v>
      </c>
      <c r="H28" s="79">
        <v>385</v>
      </c>
      <c r="I28" s="79">
        <v>101718</v>
      </c>
      <c r="J28" s="79">
        <v>97360</v>
      </c>
    </row>
    <row r="29" spans="1:12" ht="15" customHeight="1">
      <c r="A29" s="85" t="s">
        <v>43</v>
      </c>
      <c r="B29" s="81">
        <v>10017</v>
      </c>
      <c r="C29" s="81">
        <v>40017</v>
      </c>
      <c r="D29" s="81">
        <v>98603</v>
      </c>
      <c r="E29" s="81">
        <v>93514</v>
      </c>
      <c r="F29" s="81">
        <v>21503</v>
      </c>
      <c r="G29" s="83">
        <f t="shared" si="0"/>
        <v>263654</v>
      </c>
      <c r="H29" s="81">
        <v>5279</v>
      </c>
      <c r="I29" s="81">
        <v>143999</v>
      </c>
      <c r="J29" s="81">
        <v>114376</v>
      </c>
    </row>
    <row r="30" spans="1:12" ht="15" customHeight="1">
      <c r="A30" s="84" t="s">
        <v>44</v>
      </c>
      <c r="B30" s="79">
        <v>10017</v>
      </c>
      <c r="C30" s="79">
        <v>45341</v>
      </c>
      <c r="D30" s="79">
        <v>111429</v>
      </c>
      <c r="E30" s="79">
        <v>98085</v>
      </c>
      <c r="F30" s="79">
        <v>16966</v>
      </c>
      <c r="G30" s="80">
        <f t="shared" si="0"/>
        <v>281838</v>
      </c>
      <c r="H30" s="79">
        <v>8986</v>
      </c>
      <c r="I30" s="79">
        <v>139462</v>
      </c>
      <c r="J30" s="79">
        <v>133390</v>
      </c>
    </row>
    <row r="31" spans="1:12" ht="15" customHeight="1">
      <c r="A31" s="85" t="s">
        <v>46</v>
      </c>
      <c r="B31" s="81">
        <v>19259</v>
      </c>
      <c r="C31" s="81">
        <v>47573</v>
      </c>
      <c r="D31" s="86">
        <v>110529</v>
      </c>
      <c r="E31" s="86">
        <v>68449</v>
      </c>
      <c r="F31" s="86">
        <v>15929</v>
      </c>
      <c r="G31" s="91">
        <f t="shared" si="0"/>
        <v>261739</v>
      </c>
      <c r="H31" s="86">
        <v>5146.7</v>
      </c>
      <c r="I31" s="86">
        <v>111803.6</v>
      </c>
      <c r="J31" s="86">
        <v>144788.4</v>
      </c>
    </row>
    <row r="32" spans="1:12" ht="15" customHeight="1">
      <c r="A32" s="84" t="s">
        <v>47</v>
      </c>
      <c r="B32" s="99">
        <v>19258.8</v>
      </c>
      <c r="C32" s="99">
        <v>50564.4</v>
      </c>
      <c r="D32" s="79">
        <v>106499</v>
      </c>
      <c r="E32" s="79">
        <v>101234</v>
      </c>
      <c r="F32" s="79">
        <v>15058</v>
      </c>
      <c r="G32" s="91">
        <f>SUM(B32:F32)</f>
        <v>292614.2</v>
      </c>
      <c r="H32" s="79">
        <v>5358</v>
      </c>
      <c r="I32" s="79">
        <v>152762</v>
      </c>
      <c r="J32" s="79">
        <v>134494</v>
      </c>
      <c r="L32" s="98"/>
    </row>
    <row r="33" spans="1:20" ht="15" customHeight="1">
      <c r="A33" s="85" t="s">
        <v>143</v>
      </c>
      <c r="B33" s="81">
        <v>19259</v>
      </c>
      <c r="C33" s="86">
        <v>52202.8</v>
      </c>
      <c r="D33" s="86">
        <v>121484.3</v>
      </c>
      <c r="E33" s="86">
        <v>136895.9</v>
      </c>
      <c r="F33" s="86">
        <v>23254.7</v>
      </c>
      <c r="G33" s="91">
        <f>SUM(B33:F33)</f>
        <v>353096.7</v>
      </c>
      <c r="H33" s="86">
        <v>6927</v>
      </c>
      <c r="I33" s="86">
        <v>215377.9</v>
      </c>
      <c r="J33" s="86">
        <v>130791.80000000002</v>
      </c>
    </row>
    <row r="34" spans="1:20" s="95" customFormat="1" ht="15" customHeight="1">
      <c r="A34" s="84" t="s">
        <v>146</v>
      </c>
      <c r="B34" s="99">
        <v>19259</v>
      </c>
      <c r="C34" s="99">
        <v>52768.7</v>
      </c>
      <c r="D34" s="99">
        <f>(818.19+8317.2+190.84+2294.96)*10</f>
        <v>116211.90000000002</v>
      </c>
      <c r="E34" s="79">
        <f>(10191.29+4437.55+1069.99+466.92+26.65)*10</f>
        <v>161924</v>
      </c>
      <c r="F34" s="79">
        <v>23175</v>
      </c>
      <c r="G34" s="91">
        <f>SUM(B34:F34)</f>
        <v>373338.60000000003</v>
      </c>
      <c r="H34" s="79">
        <v>6033</v>
      </c>
      <c r="I34" s="79">
        <v>258431</v>
      </c>
      <c r="J34" s="79">
        <v>108875</v>
      </c>
      <c r="K34" s="92"/>
      <c r="L34" s="92"/>
      <c r="M34" s="92"/>
      <c r="N34" s="92"/>
      <c r="O34" s="92"/>
      <c r="P34" s="92"/>
      <c r="Q34" s="92"/>
      <c r="R34" s="92"/>
      <c r="S34" s="92"/>
      <c r="T34" s="92"/>
    </row>
    <row r="35" spans="1:20" s="95" customFormat="1" ht="15" customHeight="1">
      <c r="A35" s="85" t="s">
        <v>147</v>
      </c>
      <c r="B35" s="86">
        <v>19258.800000000003</v>
      </c>
      <c r="C35" s="86">
        <v>48044.400000000009</v>
      </c>
      <c r="D35" s="86">
        <v>115622.20000000001</v>
      </c>
      <c r="E35" s="86">
        <v>113364.59999999999</v>
      </c>
      <c r="F35" s="86">
        <v>23490.5</v>
      </c>
      <c r="G35" s="91">
        <v>319780.5</v>
      </c>
      <c r="H35" s="86">
        <v>11819.499999999998</v>
      </c>
      <c r="I35" s="86">
        <v>217649.90000000002</v>
      </c>
      <c r="J35" s="86">
        <v>90311.1</v>
      </c>
      <c r="K35" s="92"/>
    </row>
    <row r="36" spans="1:20" s="95" customFormat="1" ht="15" customHeight="1">
      <c r="A36" s="107" t="s">
        <v>35</v>
      </c>
      <c r="B36" s="108"/>
      <c r="C36" s="108"/>
      <c r="D36" s="108"/>
      <c r="E36" s="108"/>
      <c r="F36" s="108"/>
      <c r="G36" s="108"/>
      <c r="H36" s="108"/>
      <c r="I36" s="108"/>
      <c r="J36" s="109"/>
    </row>
    <row r="37" spans="1:20">
      <c r="A37" s="34" t="s">
        <v>37</v>
      </c>
      <c r="B37" s="32"/>
      <c r="C37" s="32"/>
      <c r="D37" s="32"/>
      <c r="E37" s="32"/>
      <c r="F37" s="32"/>
      <c r="G37" s="32"/>
      <c r="H37" s="32"/>
      <c r="I37" s="32"/>
      <c r="J37" s="33"/>
    </row>
    <row r="38" spans="1:20" ht="13.5" thickBot="1">
      <c r="A38" s="104"/>
      <c r="B38" s="105"/>
      <c r="C38" s="105"/>
      <c r="D38" s="105"/>
      <c r="E38" s="105"/>
      <c r="F38" s="105"/>
      <c r="G38" s="105"/>
      <c r="H38" s="105"/>
      <c r="I38" s="105"/>
      <c r="J38" s="106"/>
    </row>
    <row r="39" spans="1:20" ht="15">
      <c r="A39" s="35"/>
      <c r="B39"/>
      <c r="C39"/>
      <c r="D39"/>
      <c r="E39"/>
      <c r="F39"/>
      <c r="G39"/>
      <c r="H39"/>
      <c r="I39"/>
      <c r="J39"/>
      <c r="K39" s="97"/>
      <c r="L39" s="97"/>
      <c r="M39" s="97"/>
      <c r="N39" s="97"/>
    </row>
    <row r="40" spans="1:20">
      <c r="K40" s="1"/>
      <c r="L40" s="1"/>
      <c r="M40" s="97"/>
      <c r="N40" s="97"/>
    </row>
    <row r="41" spans="1:20">
      <c r="K41" s="1"/>
    </row>
    <row r="42" spans="1:20">
      <c r="K42" s="1"/>
    </row>
    <row r="43" spans="1:20">
      <c r="K43" s="1"/>
    </row>
    <row r="49" spans="11:14">
      <c r="K49" s="1"/>
      <c r="L49" s="97"/>
      <c r="M49" s="97"/>
      <c r="N49" s="97"/>
    </row>
    <row r="50" spans="11:14">
      <c r="K50" s="1"/>
      <c r="L50" s="97"/>
      <c r="M50" s="97"/>
      <c r="N50" s="97"/>
    </row>
    <row r="51" spans="11:14">
      <c r="K51" s="1"/>
      <c r="L51" s="97"/>
      <c r="M51" s="97"/>
      <c r="N51" s="97"/>
    </row>
    <row r="52" spans="11:14">
      <c r="K52" s="1"/>
      <c r="L52" s="97"/>
      <c r="M52" s="97"/>
      <c r="N52" s="97"/>
    </row>
    <row r="53" spans="11:14">
      <c r="K53" s="1"/>
      <c r="L53" s="97"/>
      <c r="M53" s="97"/>
      <c r="N53" s="97"/>
    </row>
    <row r="54" spans="11:14">
      <c r="K54" s="1"/>
      <c r="L54" s="97"/>
      <c r="M54" s="97"/>
      <c r="N54" s="97"/>
    </row>
    <row r="55" spans="11:14">
      <c r="K55" s="1"/>
      <c r="L55" s="97"/>
      <c r="M55" s="97"/>
      <c r="N55" s="97"/>
    </row>
    <row r="56" spans="11:14">
      <c r="K56" s="1"/>
      <c r="L56" s="97"/>
      <c r="M56" s="97"/>
      <c r="N56" s="97"/>
    </row>
    <row r="57" spans="11:14">
      <c r="K57" s="1"/>
      <c r="L57" s="97"/>
      <c r="M57" s="97"/>
      <c r="N57" s="97"/>
    </row>
    <row r="58" spans="11:14">
      <c r="K58" s="1"/>
      <c r="L58" s="97"/>
      <c r="M58" s="97"/>
      <c r="N58" s="97"/>
    </row>
    <row r="59" spans="11:14">
      <c r="K59" s="1"/>
      <c r="L59" s="97"/>
      <c r="M59" s="97"/>
      <c r="N59" s="97"/>
    </row>
    <row r="60" spans="11:14">
      <c r="K60" s="1"/>
      <c r="L60" s="97"/>
      <c r="M60" s="97"/>
      <c r="N60" s="97"/>
    </row>
    <row r="61" spans="11:14">
      <c r="K61" s="1"/>
      <c r="L61" s="97"/>
      <c r="M61" s="97"/>
      <c r="N61" s="97"/>
    </row>
    <row r="62" spans="11:14">
      <c r="K62" s="1"/>
      <c r="L62" s="97"/>
      <c r="M62" s="97"/>
      <c r="N62" s="97"/>
    </row>
  </sheetData>
  <mergeCells count="8">
    <mergeCell ref="A3:J3"/>
    <mergeCell ref="A38:J38"/>
    <mergeCell ref="A36:J36"/>
    <mergeCell ref="A6:J6"/>
    <mergeCell ref="A7:J7"/>
    <mergeCell ref="A8:J8"/>
    <mergeCell ref="B11:F11"/>
    <mergeCell ref="H11:J11"/>
  </mergeCells>
  <phoneticPr fontId="0" type="noConversion"/>
  <printOptions horizontalCentered="1"/>
  <pageMargins left="0.49" right="0.25" top="0.27" bottom="0.5" header="0" footer="0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9"/>
  <sheetViews>
    <sheetView workbookViewId="0">
      <selection activeCell="E8" sqref="E8"/>
    </sheetView>
  </sheetViews>
  <sheetFormatPr defaultRowHeight="12"/>
  <cols>
    <col min="2" max="2" width="20.25" customWidth="1"/>
    <col min="3" max="4" width="10.25" bestFit="1" customWidth="1"/>
  </cols>
  <sheetData>
    <row r="1" spans="2:5" ht="36">
      <c r="C1" s="52" t="s">
        <v>116</v>
      </c>
      <c r="D1" s="52" t="s">
        <v>117</v>
      </c>
      <c r="E1" s="52" t="s">
        <v>144</v>
      </c>
    </row>
    <row r="2" spans="2:5">
      <c r="B2" s="51" t="s">
        <v>110</v>
      </c>
      <c r="C2">
        <v>818.19</v>
      </c>
      <c r="D2">
        <v>818.19</v>
      </c>
      <c r="E2">
        <v>818.19</v>
      </c>
    </row>
    <row r="3" spans="2:5">
      <c r="B3" s="51" t="s">
        <v>97</v>
      </c>
      <c r="C3">
        <f>9083.47+1151.26</f>
        <v>10234.73</v>
      </c>
      <c r="D3" s="51">
        <f>8948.47+573.21</f>
        <v>9521.68</v>
      </c>
      <c r="E3">
        <f>8448.48+599.5</f>
        <v>9047.98</v>
      </c>
    </row>
    <row r="4" spans="2:5">
      <c r="B4" s="51" t="s">
        <v>109</v>
      </c>
      <c r="C4" s="51" t="s">
        <v>0</v>
      </c>
      <c r="D4" s="51">
        <v>310</v>
      </c>
      <c r="E4">
        <v>2282.2600000000002</v>
      </c>
    </row>
    <row r="5" spans="2:5">
      <c r="B5" s="51"/>
      <c r="C5" s="51">
        <f>SUM(C2:C4)*10</f>
        <v>110529.2</v>
      </c>
      <c r="D5" s="51">
        <f>SUM(D2:D4)*10</f>
        <v>106498.70000000001</v>
      </c>
      <c r="E5" s="51">
        <f>SUM(E2:E4)*10</f>
        <v>121484.3</v>
      </c>
    </row>
    <row r="6" spans="2:5">
      <c r="B6" s="51"/>
      <c r="D6" s="51"/>
    </row>
    <row r="7" spans="2:5">
      <c r="B7" s="51" t="s">
        <v>114</v>
      </c>
      <c r="C7">
        <f>(3818.95+2493.07)-(4.24+18.89)</f>
        <v>6288.89</v>
      </c>
      <c r="D7">
        <f>(6694.94+2576.25)-(3.07+20.06)</f>
        <v>9248.06</v>
      </c>
      <c r="E7">
        <f>(9831.45+2730.63)-(2.7+20.43)</f>
        <v>12538.950000000003</v>
      </c>
    </row>
    <row r="8" spans="2:5">
      <c r="B8" s="51" t="s">
        <v>89</v>
      </c>
      <c r="C8">
        <f>4.24+18.89</f>
        <v>23.130000000000003</v>
      </c>
      <c r="D8">
        <f>3.07+20.06</f>
        <v>23.13</v>
      </c>
    </row>
    <row r="9" spans="2:5">
      <c r="B9" s="51" t="s">
        <v>113</v>
      </c>
      <c r="C9">
        <v>4.32</v>
      </c>
      <c r="D9">
        <v>4.58</v>
      </c>
    </row>
    <row r="10" spans="2:5">
      <c r="B10" s="51" t="s">
        <v>71</v>
      </c>
    </row>
    <row r="11" spans="2:5">
      <c r="B11" s="51" t="s">
        <v>111</v>
      </c>
      <c r="C11" s="51"/>
      <c r="D11" s="51"/>
    </row>
    <row r="12" spans="2:5">
      <c r="B12" s="51" t="s">
        <v>112</v>
      </c>
      <c r="C12" s="51">
        <f>504.26+24.55</f>
        <v>528.80999999999995</v>
      </c>
      <c r="D12" s="51">
        <f>570.51+29.21</f>
        <v>599.72</v>
      </c>
    </row>
    <row r="13" spans="2:5">
      <c r="B13" s="51"/>
      <c r="C13" s="51">
        <f>SUM(C7:C12)</f>
        <v>6845.15</v>
      </c>
      <c r="D13" s="51">
        <f>SUM(D7:D12)</f>
        <v>9875.489999999998</v>
      </c>
    </row>
    <row r="14" spans="2:5">
      <c r="C14" s="51">
        <f>C13*10</f>
        <v>68451.5</v>
      </c>
      <c r="D14" s="51">
        <f>D13*10</f>
        <v>98754.89999999998</v>
      </c>
    </row>
    <row r="15" spans="2:5">
      <c r="B15" s="51" t="s">
        <v>121</v>
      </c>
      <c r="C15" s="51">
        <v>14.68</v>
      </c>
      <c r="D15" s="53">
        <v>247.95</v>
      </c>
    </row>
    <row r="16" spans="2:5">
      <c r="C16" s="51"/>
      <c r="D16" s="51"/>
    </row>
    <row r="17" spans="2:16">
      <c r="B17" s="51" t="s">
        <v>115</v>
      </c>
      <c r="C17" s="51">
        <f>(73.37-4.32)+434.55</f>
        <v>503.6</v>
      </c>
      <c r="D17" s="51">
        <f>(86.86-4.58)+434.5</f>
        <v>516.78</v>
      </c>
    </row>
    <row r="18" spans="2:16">
      <c r="C18" s="51">
        <f>198.54+42.8</f>
        <v>241.33999999999997</v>
      </c>
      <c r="D18" s="51">
        <f>198.22+81.76</f>
        <v>279.98</v>
      </c>
    </row>
    <row r="19" spans="2:16">
      <c r="C19" s="51">
        <v>14.68</v>
      </c>
      <c r="D19" s="51">
        <v>247.95</v>
      </c>
    </row>
    <row r="20" spans="2:16">
      <c r="C20" s="51">
        <v>185.26</v>
      </c>
      <c r="D20" s="51">
        <v>95.84</v>
      </c>
    </row>
    <row r="21" spans="2:16">
      <c r="C21">
        <f>SUM(C17:C20)</f>
        <v>944.88</v>
      </c>
      <c r="D21">
        <f>SUM(D17:D20)</f>
        <v>1140.55</v>
      </c>
    </row>
    <row r="25" spans="2:16">
      <c r="C25" s="53">
        <f>O34-C21</f>
        <v>358.12</v>
      </c>
      <c r="D25" s="53">
        <f>O35-D21</f>
        <v>94.450000000000045</v>
      </c>
    </row>
    <row r="27" spans="2:16" ht="12.75" thickBot="1"/>
    <row r="28" spans="2:16" ht="13.5" thickBot="1">
      <c r="B28" s="36" t="s">
        <v>48</v>
      </c>
      <c r="C28" s="37"/>
      <c r="D28" s="37"/>
      <c r="E28" s="37"/>
      <c r="F28" s="37"/>
      <c r="G28" s="37"/>
      <c r="H28" s="37"/>
      <c r="I28" s="117" t="s">
        <v>49</v>
      </c>
      <c r="J28" s="117"/>
      <c r="K28" s="38"/>
      <c r="L28" s="38"/>
      <c r="M28" s="38"/>
      <c r="N28" s="37" t="s">
        <v>50</v>
      </c>
      <c r="O28" s="39"/>
      <c r="P28" s="39"/>
    </row>
    <row r="29" spans="2:16" ht="13.5" thickBot="1">
      <c r="B29" s="40"/>
      <c r="C29" s="41" t="s">
        <v>6</v>
      </c>
      <c r="D29" s="41" t="s">
        <v>51</v>
      </c>
      <c r="E29" s="41" t="s">
        <v>52</v>
      </c>
      <c r="F29" s="41" t="s">
        <v>51</v>
      </c>
      <c r="G29" s="41" t="s">
        <v>53</v>
      </c>
      <c r="H29" s="41" t="s">
        <v>54</v>
      </c>
      <c r="I29" s="118" t="s">
        <v>55</v>
      </c>
      <c r="J29" s="119"/>
      <c r="K29" s="119"/>
      <c r="L29" s="119"/>
      <c r="M29" s="119"/>
      <c r="N29" s="120"/>
      <c r="O29" s="42" t="s">
        <v>1</v>
      </c>
      <c r="P29" s="42" t="s">
        <v>56</v>
      </c>
    </row>
    <row r="30" spans="2:16" ht="12.75">
      <c r="B30" s="40"/>
      <c r="C30" s="41" t="s">
        <v>57</v>
      </c>
      <c r="D30" s="41" t="s">
        <v>58</v>
      </c>
      <c r="E30" s="41" t="s">
        <v>59</v>
      </c>
      <c r="F30" s="41" t="s">
        <v>60</v>
      </c>
      <c r="G30" s="41" t="s">
        <v>61</v>
      </c>
      <c r="H30" s="41" t="s">
        <v>62</v>
      </c>
      <c r="I30" s="41"/>
      <c r="J30" s="41"/>
      <c r="K30" s="41"/>
      <c r="L30" s="41"/>
      <c r="M30" s="41"/>
      <c r="N30" s="41"/>
      <c r="O30" s="43" t="s">
        <v>63</v>
      </c>
      <c r="P30" s="43" t="s">
        <v>64</v>
      </c>
    </row>
    <row r="31" spans="2:16" ht="12.75">
      <c r="B31" s="44"/>
      <c r="C31" s="43"/>
      <c r="D31" s="45"/>
      <c r="E31" s="41" t="s">
        <v>65</v>
      </c>
      <c r="F31" s="41" t="s">
        <v>66</v>
      </c>
      <c r="G31" s="41" t="s">
        <v>67</v>
      </c>
      <c r="H31" s="41"/>
      <c r="I31" s="41" t="s">
        <v>68</v>
      </c>
      <c r="J31" s="41" t="s">
        <v>69</v>
      </c>
      <c r="K31" s="41" t="s">
        <v>70</v>
      </c>
      <c r="L31" s="41" t="s">
        <v>71</v>
      </c>
      <c r="M31" s="41" t="s">
        <v>72</v>
      </c>
      <c r="N31" s="41" t="s">
        <v>73</v>
      </c>
      <c r="O31" s="46"/>
      <c r="P31" s="41" t="s">
        <v>74</v>
      </c>
    </row>
    <row r="32" spans="2:16" ht="13.5" thickBot="1">
      <c r="B32" s="44"/>
      <c r="C32" s="43"/>
      <c r="D32" s="43"/>
      <c r="E32" s="41" t="s">
        <v>75</v>
      </c>
      <c r="F32" s="41" t="s">
        <v>76</v>
      </c>
      <c r="G32" s="41"/>
      <c r="H32" s="41"/>
      <c r="I32" s="41" t="s">
        <v>77</v>
      </c>
      <c r="J32" s="41" t="s">
        <v>78</v>
      </c>
      <c r="K32" s="41"/>
      <c r="L32" s="41"/>
      <c r="M32" s="41" t="s">
        <v>79</v>
      </c>
      <c r="N32" s="41" t="s">
        <v>80</v>
      </c>
      <c r="O32" s="41"/>
      <c r="P32" s="41" t="s">
        <v>81</v>
      </c>
    </row>
    <row r="33" spans="2:16" ht="12.75">
      <c r="B33" s="47">
        <v>1</v>
      </c>
      <c r="C33" s="48">
        <v>2</v>
      </c>
      <c r="D33" s="48">
        <v>3</v>
      </c>
      <c r="E33" s="48">
        <v>4</v>
      </c>
      <c r="F33" s="48">
        <v>5</v>
      </c>
      <c r="G33" s="48">
        <v>6</v>
      </c>
      <c r="H33" s="48">
        <v>7</v>
      </c>
      <c r="I33" s="48">
        <v>8</v>
      </c>
      <c r="J33" s="48">
        <v>9</v>
      </c>
      <c r="K33" s="48">
        <v>10</v>
      </c>
      <c r="L33" s="48">
        <v>11</v>
      </c>
      <c r="M33" s="48">
        <v>12</v>
      </c>
      <c r="N33" s="48">
        <v>13</v>
      </c>
      <c r="O33" s="48">
        <v>14</v>
      </c>
      <c r="P33" s="48">
        <v>15</v>
      </c>
    </row>
    <row r="34" spans="2:16" ht="13.5" thickBot="1">
      <c r="B34" s="49">
        <v>2013</v>
      </c>
      <c r="C34" s="50">
        <v>1926</v>
      </c>
      <c r="D34" s="50">
        <v>4757</v>
      </c>
      <c r="E34" s="50">
        <v>0</v>
      </c>
      <c r="F34" s="50">
        <v>0</v>
      </c>
      <c r="G34" s="50">
        <v>290</v>
      </c>
      <c r="H34" s="50">
        <v>11053</v>
      </c>
      <c r="I34" s="50">
        <v>6289</v>
      </c>
      <c r="J34" s="50">
        <v>27</v>
      </c>
      <c r="K34" s="50">
        <v>0</v>
      </c>
      <c r="L34" s="50">
        <v>0</v>
      </c>
      <c r="M34" s="50">
        <v>0</v>
      </c>
      <c r="N34" s="50">
        <v>529</v>
      </c>
      <c r="O34" s="50">
        <v>1303</v>
      </c>
      <c r="P34" s="50">
        <v>26174</v>
      </c>
    </row>
    <row r="35" spans="2:16" ht="13.5" thickBot="1">
      <c r="B35" s="49">
        <v>2014</v>
      </c>
      <c r="C35" s="50">
        <v>1926</v>
      </c>
      <c r="D35" s="50">
        <v>5057</v>
      </c>
      <c r="E35" s="50">
        <v>0</v>
      </c>
      <c r="F35" s="50">
        <v>0</v>
      </c>
      <c r="G35" s="50">
        <v>270</v>
      </c>
      <c r="H35" s="50">
        <v>10650</v>
      </c>
      <c r="I35" s="50">
        <v>9496</v>
      </c>
      <c r="J35" s="50">
        <v>28</v>
      </c>
      <c r="K35" s="50">
        <v>0</v>
      </c>
      <c r="L35" s="50">
        <v>0</v>
      </c>
      <c r="M35" s="50">
        <v>0</v>
      </c>
      <c r="N35" s="50">
        <v>600</v>
      </c>
      <c r="O35" s="50">
        <v>1235</v>
      </c>
      <c r="P35" s="50">
        <v>29262</v>
      </c>
    </row>
    <row r="37" spans="2:16" ht="58.5" customHeight="1"/>
    <row r="38" spans="2:16" ht="24">
      <c r="C38" s="52" t="s">
        <v>116</v>
      </c>
      <c r="D38" s="52" t="s">
        <v>117</v>
      </c>
    </row>
    <row r="39" spans="2:16">
      <c r="C39" s="52"/>
      <c r="D39" s="52"/>
    </row>
    <row r="40" spans="2:16">
      <c r="B40" s="51" t="s">
        <v>118</v>
      </c>
      <c r="C40">
        <f>(10542.78+3737.14)</f>
        <v>14279.92</v>
      </c>
      <c r="D40">
        <f>16598.59+2036.52</f>
        <v>18635.11</v>
      </c>
    </row>
    <row r="41" spans="2:16">
      <c r="B41" s="51" t="s">
        <v>119</v>
      </c>
      <c r="C41">
        <f>1152.96+0.34+19.29</f>
        <v>1172.5899999999999</v>
      </c>
      <c r="D41">
        <f>1141.3+0.2+5.62</f>
        <v>1147.1199999999999</v>
      </c>
    </row>
    <row r="42" spans="2:16">
      <c r="B42" s="51" t="s">
        <v>120</v>
      </c>
      <c r="C42">
        <f>5955.2+726.79+216.32+4.57+2686.21+15.08+605.62+32.52+186.59</f>
        <v>10428.900000000001</v>
      </c>
      <c r="D42">
        <f>5751.86+682.04+183.57+4.55+1761.67+33.82+535.83+34.31+219.43</f>
        <v>9207.0799999999981</v>
      </c>
    </row>
    <row r="43" spans="2:16">
      <c r="C43" s="52"/>
      <c r="D43" s="52"/>
    </row>
    <row r="44" spans="2:16">
      <c r="C44" s="52">
        <f>SUM(C40:C43)</f>
        <v>25881.410000000003</v>
      </c>
      <c r="D44" s="54">
        <f>SUM(D40:D43)</f>
        <v>28989.309999999998</v>
      </c>
    </row>
    <row r="45" spans="2:16">
      <c r="C45" s="52"/>
      <c r="D45" s="52"/>
    </row>
    <row r="46" spans="2:16">
      <c r="C46" s="52"/>
      <c r="D46" s="52"/>
    </row>
    <row r="47" spans="2:16" ht="18">
      <c r="B47" s="121" t="s">
        <v>122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</row>
    <row r="48" spans="2:16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2:1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 t="s">
        <v>82</v>
      </c>
    </row>
    <row r="50" spans="2:12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2:12" ht="12.75">
      <c r="B51" s="56" t="s">
        <v>48</v>
      </c>
      <c r="C51" s="57"/>
      <c r="D51" s="57"/>
      <c r="E51" s="57"/>
      <c r="F51" s="57"/>
      <c r="G51" s="57" t="s">
        <v>74</v>
      </c>
      <c r="H51" s="57"/>
      <c r="I51" s="57"/>
      <c r="J51" s="57"/>
      <c r="K51" s="57"/>
      <c r="L51" s="58"/>
    </row>
    <row r="52" spans="2:12" ht="12.75">
      <c r="B52" s="59"/>
      <c r="C52" s="56" t="s">
        <v>83</v>
      </c>
      <c r="D52" s="60"/>
      <c r="E52" s="57"/>
      <c r="F52" s="57" t="s">
        <v>84</v>
      </c>
      <c r="G52" s="58"/>
      <c r="H52" s="56" t="s">
        <v>85</v>
      </c>
      <c r="I52" s="56" t="s">
        <v>86</v>
      </c>
      <c r="J52" s="56" t="s">
        <v>1</v>
      </c>
      <c r="K52" s="56" t="s">
        <v>56</v>
      </c>
      <c r="L52" s="61" t="s">
        <v>87</v>
      </c>
    </row>
    <row r="53" spans="2:12" ht="12.75">
      <c r="B53" s="59"/>
      <c r="C53" s="59" t="s">
        <v>88</v>
      </c>
      <c r="D53" s="56" t="s">
        <v>89</v>
      </c>
      <c r="E53" s="56" t="s">
        <v>90</v>
      </c>
      <c r="F53" s="56" t="s">
        <v>91</v>
      </c>
      <c r="G53" s="56" t="s">
        <v>92</v>
      </c>
      <c r="H53" s="59" t="s">
        <v>22</v>
      </c>
      <c r="I53" s="59" t="s">
        <v>18</v>
      </c>
      <c r="J53" s="59" t="s">
        <v>18</v>
      </c>
      <c r="K53" s="59" t="s">
        <v>74</v>
      </c>
      <c r="L53" s="61" t="s">
        <v>93</v>
      </c>
    </row>
    <row r="54" spans="2:12" ht="12.75">
      <c r="B54" s="59"/>
      <c r="C54" s="59" t="s">
        <v>94</v>
      </c>
      <c r="D54" s="59" t="s">
        <v>95</v>
      </c>
      <c r="E54" s="59" t="s">
        <v>96</v>
      </c>
      <c r="F54" s="59" t="s">
        <v>97</v>
      </c>
      <c r="G54" s="59" t="s">
        <v>98</v>
      </c>
      <c r="H54" s="59"/>
      <c r="I54" s="59"/>
      <c r="J54" s="59"/>
      <c r="K54" s="59"/>
      <c r="L54" s="61" t="s">
        <v>99</v>
      </c>
    </row>
    <row r="55" spans="2:12" ht="12.75">
      <c r="B55" s="59"/>
      <c r="C55" s="59" t="s">
        <v>100</v>
      </c>
      <c r="D55" s="59"/>
      <c r="E55" s="59" t="s">
        <v>101</v>
      </c>
      <c r="F55" s="59"/>
      <c r="G55" s="59" t="s">
        <v>102</v>
      </c>
      <c r="H55" s="59"/>
      <c r="I55" s="59"/>
      <c r="J55" s="59"/>
      <c r="K55" s="59"/>
      <c r="L55" s="61" t="s">
        <v>103</v>
      </c>
    </row>
    <row r="56" spans="2:12" ht="12.75">
      <c r="B56" s="59"/>
      <c r="C56" s="59" t="s">
        <v>104</v>
      </c>
      <c r="D56" s="59"/>
      <c r="E56" s="59"/>
      <c r="F56" s="59"/>
      <c r="G56" s="59" t="s">
        <v>105</v>
      </c>
      <c r="H56" s="59"/>
      <c r="I56" s="59"/>
      <c r="J56" s="59"/>
      <c r="K56" s="59"/>
      <c r="L56" s="61" t="s">
        <v>106</v>
      </c>
    </row>
    <row r="57" spans="2:12" ht="12.75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1" t="s">
        <v>107</v>
      </c>
    </row>
    <row r="58" spans="2:12" ht="12.75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61" t="s">
        <v>108</v>
      </c>
    </row>
    <row r="59" spans="2:12" ht="12.75">
      <c r="B59" s="62">
        <v>1</v>
      </c>
      <c r="C59" s="62">
        <v>16</v>
      </c>
      <c r="D59" s="62">
        <v>17</v>
      </c>
      <c r="E59" s="62">
        <v>18</v>
      </c>
      <c r="F59" s="62">
        <v>19</v>
      </c>
      <c r="G59" s="62">
        <v>20</v>
      </c>
      <c r="H59" s="62">
        <v>21</v>
      </c>
      <c r="I59" s="62">
        <v>22</v>
      </c>
      <c r="J59" s="62">
        <v>23</v>
      </c>
      <c r="K59" s="62" t="s">
        <v>0</v>
      </c>
      <c r="L59" s="63">
        <v>24</v>
      </c>
    </row>
    <row r="60" spans="2:12" ht="12.75">
      <c r="B60" s="64">
        <v>1971</v>
      </c>
      <c r="C60" s="65">
        <v>9</v>
      </c>
      <c r="D60" s="65">
        <v>0</v>
      </c>
      <c r="E60" s="65">
        <v>12</v>
      </c>
      <c r="F60" s="65">
        <v>6</v>
      </c>
      <c r="G60" s="65">
        <v>0</v>
      </c>
      <c r="H60" s="65">
        <v>159</v>
      </c>
      <c r="I60" s="65">
        <v>0</v>
      </c>
      <c r="J60" s="65">
        <v>5</v>
      </c>
      <c r="K60" s="65">
        <f t="shared" ref="K60:K93" si="0">SUM(C60:J60)</f>
        <v>191</v>
      </c>
      <c r="L60" s="65">
        <v>21</v>
      </c>
    </row>
    <row r="61" spans="2:12" ht="12.75">
      <c r="B61" s="64">
        <v>1972</v>
      </c>
      <c r="C61" s="65">
        <v>2</v>
      </c>
      <c r="D61" s="65">
        <v>0</v>
      </c>
      <c r="E61" s="65">
        <v>12</v>
      </c>
      <c r="F61" s="65">
        <v>6</v>
      </c>
      <c r="G61" s="65">
        <v>0</v>
      </c>
      <c r="H61" s="65">
        <v>169</v>
      </c>
      <c r="I61" s="65">
        <v>0</v>
      </c>
      <c r="J61" s="65">
        <v>7</v>
      </c>
      <c r="K61" s="65">
        <f t="shared" si="0"/>
        <v>196</v>
      </c>
      <c r="L61" s="65">
        <v>19</v>
      </c>
    </row>
    <row r="62" spans="2:12" ht="12.75">
      <c r="B62" s="64">
        <v>1973</v>
      </c>
      <c r="C62" s="65">
        <v>12</v>
      </c>
      <c r="D62" s="65">
        <v>0</v>
      </c>
      <c r="E62" s="65">
        <v>13</v>
      </c>
      <c r="F62" s="65">
        <v>6</v>
      </c>
      <c r="G62" s="65">
        <v>0</v>
      </c>
      <c r="H62" s="65">
        <v>185</v>
      </c>
      <c r="I62" s="65">
        <v>0</v>
      </c>
      <c r="J62" s="65">
        <v>3</v>
      </c>
      <c r="K62" s="65">
        <f t="shared" si="0"/>
        <v>219</v>
      </c>
      <c r="L62" s="65">
        <v>15</v>
      </c>
    </row>
    <row r="63" spans="2:12" ht="12.75">
      <c r="B63" s="64">
        <v>1974</v>
      </c>
      <c r="C63" s="65">
        <v>9</v>
      </c>
      <c r="D63" s="65">
        <v>0</v>
      </c>
      <c r="E63" s="65">
        <v>14</v>
      </c>
      <c r="F63" s="65">
        <v>5</v>
      </c>
      <c r="G63" s="65">
        <v>0</v>
      </c>
      <c r="H63" s="65">
        <v>196</v>
      </c>
      <c r="I63" s="65">
        <v>0</v>
      </c>
      <c r="J63" s="65">
        <v>6</v>
      </c>
      <c r="K63" s="65">
        <f t="shared" si="0"/>
        <v>230</v>
      </c>
      <c r="L63" s="65">
        <v>10</v>
      </c>
    </row>
    <row r="64" spans="2:12" ht="12.75">
      <c r="B64" s="64">
        <v>1975</v>
      </c>
      <c r="C64" s="65">
        <v>11</v>
      </c>
      <c r="D64" s="65">
        <v>0</v>
      </c>
      <c r="E64" s="65">
        <v>16</v>
      </c>
      <c r="F64" s="65">
        <v>4</v>
      </c>
      <c r="G64" s="65">
        <v>1</v>
      </c>
      <c r="H64" s="65">
        <v>209</v>
      </c>
      <c r="I64" s="65">
        <v>1</v>
      </c>
      <c r="J64" s="65">
        <v>4</v>
      </c>
      <c r="K64" s="65">
        <f t="shared" si="0"/>
        <v>246</v>
      </c>
      <c r="L64" s="65">
        <v>8</v>
      </c>
    </row>
    <row r="65" spans="2:12" ht="12.75">
      <c r="B65" s="64">
        <v>1976</v>
      </c>
      <c r="C65" s="65">
        <v>14</v>
      </c>
      <c r="D65" s="65">
        <v>0</v>
      </c>
      <c r="E65" s="65">
        <v>18</v>
      </c>
      <c r="F65" s="65">
        <v>4</v>
      </c>
      <c r="G65" s="65">
        <v>1</v>
      </c>
      <c r="H65" s="65">
        <v>245</v>
      </c>
      <c r="I65" s="65">
        <v>1</v>
      </c>
      <c r="J65" s="65">
        <v>5</v>
      </c>
      <c r="K65" s="65">
        <f t="shared" si="0"/>
        <v>288</v>
      </c>
      <c r="L65" s="65">
        <v>6</v>
      </c>
    </row>
    <row r="66" spans="2:12" ht="12.75">
      <c r="B66" s="64">
        <v>1977</v>
      </c>
      <c r="C66" s="65">
        <v>9</v>
      </c>
      <c r="D66" s="65">
        <v>0</v>
      </c>
      <c r="E66" s="65">
        <v>18</v>
      </c>
      <c r="F66" s="65">
        <v>2</v>
      </c>
      <c r="G66" s="65">
        <v>1</v>
      </c>
      <c r="H66" s="65">
        <v>286</v>
      </c>
      <c r="I66" s="65">
        <v>1</v>
      </c>
      <c r="J66" s="65">
        <v>8</v>
      </c>
      <c r="K66" s="65">
        <f t="shared" si="0"/>
        <v>325</v>
      </c>
      <c r="L66" s="65">
        <v>4</v>
      </c>
    </row>
    <row r="67" spans="2:12" ht="12.75">
      <c r="B67" s="64">
        <v>1978</v>
      </c>
      <c r="C67" s="65">
        <v>21</v>
      </c>
      <c r="D67" s="65">
        <v>0</v>
      </c>
      <c r="E67" s="65">
        <v>24</v>
      </c>
      <c r="F67" s="65">
        <v>1</v>
      </c>
      <c r="G67" s="65">
        <v>1</v>
      </c>
      <c r="H67" s="65">
        <v>330</v>
      </c>
      <c r="I67" s="65">
        <v>1</v>
      </c>
      <c r="J67" s="65">
        <v>9</v>
      </c>
      <c r="K67" s="65">
        <f t="shared" si="0"/>
        <v>387</v>
      </c>
      <c r="L67" s="65">
        <v>2</v>
      </c>
    </row>
    <row r="68" spans="2:12" ht="12.75">
      <c r="B68" s="64">
        <v>1979</v>
      </c>
      <c r="C68" s="65">
        <v>10</v>
      </c>
      <c r="D68" s="65">
        <v>0</v>
      </c>
      <c r="E68" s="65">
        <v>28</v>
      </c>
      <c r="F68" s="65">
        <v>1</v>
      </c>
      <c r="G68" s="65">
        <v>1</v>
      </c>
      <c r="H68" s="65">
        <v>379</v>
      </c>
      <c r="I68" s="65">
        <v>1</v>
      </c>
      <c r="J68" s="65">
        <v>12</v>
      </c>
      <c r="K68" s="65">
        <f t="shared" si="0"/>
        <v>432</v>
      </c>
      <c r="L68" s="65">
        <v>1</v>
      </c>
    </row>
    <row r="69" spans="2:12" ht="12.75">
      <c r="B69" s="64">
        <v>1980</v>
      </c>
      <c r="C69" s="65">
        <v>41</v>
      </c>
      <c r="D69" s="65">
        <v>0</v>
      </c>
      <c r="E69" s="65">
        <v>31</v>
      </c>
      <c r="F69" s="65">
        <v>0</v>
      </c>
      <c r="G69" s="65">
        <v>1</v>
      </c>
      <c r="H69" s="65">
        <v>443</v>
      </c>
      <c r="I69" s="65">
        <v>2</v>
      </c>
      <c r="J69" s="65">
        <v>15</v>
      </c>
      <c r="K69" s="65">
        <f t="shared" si="0"/>
        <v>533</v>
      </c>
      <c r="L69" s="65">
        <v>1</v>
      </c>
    </row>
    <row r="70" spans="2:12" ht="12.75">
      <c r="B70" s="64">
        <v>1981</v>
      </c>
      <c r="C70" s="65">
        <v>21</v>
      </c>
      <c r="D70" s="65">
        <v>0</v>
      </c>
      <c r="E70" s="65">
        <v>33</v>
      </c>
      <c r="F70" s="65">
        <v>1</v>
      </c>
      <c r="G70" s="65">
        <v>1</v>
      </c>
      <c r="H70" s="65">
        <v>548</v>
      </c>
      <c r="I70" s="65">
        <v>3</v>
      </c>
      <c r="J70" s="65">
        <v>21</v>
      </c>
      <c r="K70" s="65">
        <f t="shared" si="0"/>
        <v>628</v>
      </c>
      <c r="L70" s="65">
        <v>1</v>
      </c>
    </row>
    <row r="71" spans="2:12" ht="12.75">
      <c r="B71" s="64">
        <v>1982</v>
      </c>
      <c r="C71" s="65">
        <v>48</v>
      </c>
      <c r="D71" s="65">
        <v>0</v>
      </c>
      <c r="E71" s="65">
        <v>40</v>
      </c>
      <c r="F71" s="65">
        <v>0</v>
      </c>
      <c r="G71" s="65">
        <v>1</v>
      </c>
      <c r="H71" s="65">
        <v>691</v>
      </c>
      <c r="I71" s="65">
        <v>3</v>
      </c>
      <c r="J71" s="65">
        <v>23</v>
      </c>
      <c r="K71" s="65">
        <f t="shared" si="0"/>
        <v>806</v>
      </c>
      <c r="L71" s="65">
        <v>1</v>
      </c>
    </row>
    <row r="72" spans="2:12" ht="12.75">
      <c r="B72" s="64">
        <v>1983</v>
      </c>
      <c r="C72" s="65">
        <v>40</v>
      </c>
      <c r="D72" s="65">
        <v>0</v>
      </c>
      <c r="E72" s="65">
        <v>45</v>
      </c>
      <c r="F72" s="65">
        <v>0</v>
      </c>
      <c r="G72" s="65">
        <v>1</v>
      </c>
      <c r="H72" s="65">
        <v>865</v>
      </c>
      <c r="I72" s="65">
        <v>6</v>
      </c>
      <c r="J72" s="65">
        <v>28</v>
      </c>
      <c r="K72" s="65">
        <f t="shared" si="0"/>
        <v>985</v>
      </c>
      <c r="L72" s="65">
        <v>2</v>
      </c>
    </row>
    <row r="73" spans="2:12" ht="12.75">
      <c r="B73" s="64">
        <v>1984</v>
      </c>
      <c r="C73" s="65">
        <v>54</v>
      </c>
      <c r="D73" s="65">
        <v>0</v>
      </c>
      <c r="E73" s="65">
        <v>50</v>
      </c>
      <c r="F73" s="65">
        <v>2</v>
      </c>
      <c r="G73" s="65">
        <v>1</v>
      </c>
      <c r="H73" s="65">
        <v>1056</v>
      </c>
      <c r="I73" s="65">
        <v>7</v>
      </c>
      <c r="J73" s="65">
        <v>38</v>
      </c>
      <c r="K73" s="65">
        <f t="shared" si="0"/>
        <v>1208</v>
      </c>
      <c r="L73" s="65">
        <v>4</v>
      </c>
    </row>
    <row r="74" spans="2:12" ht="12.75">
      <c r="B74" s="64">
        <v>1985</v>
      </c>
      <c r="C74" s="65">
        <v>142</v>
      </c>
      <c r="D74" s="65">
        <v>0</v>
      </c>
      <c r="E74" s="65">
        <v>54</v>
      </c>
      <c r="F74" s="65">
        <v>3</v>
      </c>
      <c r="G74" s="65">
        <v>0</v>
      </c>
      <c r="H74" s="65">
        <v>1307</v>
      </c>
      <c r="I74" s="65">
        <v>12</v>
      </c>
      <c r="J74" s="65">
        <v>53</v>
      </c>
      <c r="K74" s="65">
        <f t="shared" si="0"/>
        <v>1571</v>
      </c>
      <c r="L74" s="65">
        <v>7</v>
      </c>
    </row>
    <row r="75" spans="2:12" ht="12.75">
      <c r="B75" s="64">
        <v>1986</v>
      </c>
      <c r="C75" s="65">
        <v>209</v>
      </c>
      <c r="D75" s="65">
        <v>0</v>
      </c>
      <c r="E75" s="65">
        <v>56</v>
      </c>
      <c r="F75" s="65">
        <v>3</v>
      </c>
      <c r="G75" s="65">
        <v>0</v>
      </c>
      <c r="H75" s="65">
        <v>1649</v>
      </c>
      <c r="I75" s="65">
        <v>13</v>
      </c>
      <c r="J75" s="65">
        <v>80</v>
      </c>
      <c r="K75" s="65">
        <f t="shared" si="0"/>
        <v>2010</v>
      </c>
      <c r="L75" s="65">
        <v>18</v>
      </c>
    </row>
    <row r="76" spans="2:12" ht="12.75">
      <c r="B76" s="64">
        <v>1987</v>
      </c>
      <c r="C76" s="65">
        <v>137</v>
      </c>
      <c r="D76" s="65">
        <v>0</v>
      </c>
      <c r="E76" s="65">
        <v>66</v>
      </c>
      <c r="F76" s="65">
        <v>7</v>
      </c>
      <c r="G76" s="65">
        <v>3</v>
      </c>
      <c r="H76" s="65">
        <v>2117</v>
      </c>
      <c r="I76" s="65">
        <v>22</v>
      </c>
      <c r="J76" s="65">
        <v>110</v>
      </c>
      <c r="K76" s="65">
        <f t="shared" si="0"/>
        <v>2462</v>
      </c>
      <c r="L76" s="65">
        <v>22</v>
      </c>
    </row>
    <row r="77" spans="2:12" ht="12.75">
      <c r="B77" s="64">
        <v>1988</v>
      </c>
      <c r="C77" s="65">
        <v>193</v>
      </c>
      <c r="D77" s="65">
        <v>0</v>
      </c>
      <c r="E77" s="65">
        <v>93</v>
      </c>
      <c r="F77" s="65">
        <v>4</v>
      </c>
      <c r="G77" s="65">
        <v>6</v>
      </c>
      <c r="H77" s="65">
        <v>2733</v>
      </c>
      <c r="I77" s="65">
        <v>39</v>
      </c>
      <c r="J77" s="65">
        <v>182</v>
      </c>
      <c r="K77" s="65">
        <f t="shared" si="0"/>
        <v>3250</v>
      </c>
      <c r="L77" s="65">
        <v>23</v>
      </c>
    </row>
    <row r="78" spans="2:12" ht="12.75">
      <c r="B78" s="64">
        <v>1989</v>
      </c>
      <c r="C78" s="65">
        <v>141</v>
      </c>
      <c r="D78" s="65">
        <v>0</v>
      </c>
      <c r="E78" s="65">
        <v>105</v>
      </c>
      <c r="F78" s="65">
        <v>7</v>
      </c>
      <c r="G78" s="65">
        <v>20</v>
      </c>
      <c r="H78" s="65">
        <v>3372</v>
      </c>
      <c r="I78" s="65">
        <v>48</v>
      </c>
      <c r="J78" s="65">
        <v>262</v>
      </c>
      <c r="K78" s="65">
        <f t="shared" si="0"/>
        <v>3955</v>
      </c>
      <c r="L78" s="65">
        <v>33</v>
      </c>
    </row>
    <row r="79" spans="2:12" ht="12.75">
      <c r="B79" s="64">
        <v>1990</v>
      </c>
      <c r="C79" s="65">
        <v>47</v>
      </c>
      <c r="D79" s="65">
        <v>0</v>
      </c>
      <c r="E79" s="65">
        <v>124</v>
      </c>
      <c r="F79" s="65">
        <v>18</v>
      </c>
      <c r="G79" s="65">
        <v>27</v>
      </c>
      <c r="H79" s="65">
        <v>4179</v>
      </c>
      <c r="I79" s="65">
        <v>115</v>
      </c>
      <c r="J79" s="65">
        <v>395</v>
      </c>
      <c r="K79" s="65">
        <f t="shared" si="0"/>
        <v>4905</v>
      </c>
      <c r="L79" s="65">
        <v>40</v>
      </c>
    </row>
    <row r="80" spans="2:12" ht="12.75">
      <c r="B80" s="64">
        <v>1991</v>
      </c>
      <c r="C80" s="65">
        <v>66</v>
      </c>
      <c r="D80" s="65">
        <v>0</v>
      </c>
      <c r="E80" s="65">
        <v>141</v>
      </c>
      <c r="F80" s="65">
        <v>18</v>
      </c>
      <c r="G80" s="65">
        <v>32</v>
      </c>
      <c r="H80" s="65">
        <v>5362</v>
      </c>
      <c r="I80" s="65">
        <v>181</v>
      </c>
      <c r="J80" s="65">
        <v>597</v>
      </c>
      <c r="K80" s="65">
        <f t="shared" si="0"/>
        <v>6397</v>
      </c>
      <c r="L80" s="65">
        <v>94</v>
      </c>
    </row>
    <row r="81" spans="2:12" ht="12.75">
      <c r="B81" s="64">
        <v>1992</v>
      </c>
      <c r="C81" s="65">
        <v>268</v>
      </c>
      <c r="D81" s="65">
        <v>0</v>
      </c>
      <c r="E81" s="65">
        <v>140</v>
      </c>
      <c r="F81" s="65">
        <v>29</v>
      </c>
      <c r="G81" s="65">
        <v>35</v>
      </c>
      <c r="H81" s="65">
        <v>6788</v>
      </c>
      <c r="I81" s="65">
        <v>255</v>
      </c>
      <c r="J81" s="65">
        <v>766</v>
      </c>
      <c r="K81" s="65">
        <f t="shared" si="0"/>
        <v>8281</v>
      </c>
      <c r="L81" s="65">
        <v>181</v>
      </c>
    </row>
    <row r="82" spans="2:12" ht="12.75">
      <c r="B82" s="64">
        <v>1993</v>
      </c>
      <c r="C82" s="65">
        <v>299</v>
      </c>
      <c r="D82" s="65">
        <v>0</v>
      </c>
      <c r="E82" s="65">
        <v>175</v>
      </c>
      <c r="F82" s="65">
        <v>107</v>
      </c>
      <c r="G82" s="65">
        <v>142</v>
      </c>
      <c r="H82" s="65">
        <f>8091-75</f>
        <v>8016</v>
      </c>
      <c r="I82" s="65">
        <v>269</v>
      </c>
      <c r="J82" s="65">
        <v>557</v>
      </c>
      <c r="K82" s="65">
        <f t="shared" si="0"/>
        <v>9565</v>
      </c>
      <c r="L82" s="65">
        <v>513</v>
      </c>
    </row>
    <row r="83" spans="2:12" ht="12.75">
      <c r="B83" s="64">
        <v>1994</v>
      </c>
      <c r="C83" s="65">
        <v>584</v>
      </c>
      <c r="D83" s="65">
        <v>0</v>
      </c>
      <c r="E83" s="65">
        <v>212</v>
      </c>
      <c r="F83" s="65">
        <v>127</v>
      </c>
      <c r="G83" s="65">
        <v>73</v>
      </c>
      <c r="H83" s="65">
        <f>8487-75</f>
        <v>8412</v>
      </c>
      <c r="I83" s="65">
        <v>278</v>
      </c>
      <c r="J83" s="65">
        <v>568</v>
      </c>
      <c r="K83" s="65">
        <f t="shared" si="0"/>
        <v>10254</v>
      </c>
      <c r="L83" s="65">
        <v>500</v>
      </c>
    </row>
    <row r="84" spans="2:12" ht="12.75">
      <c r="B84" s="64">
        <v>1995</v>
      </c>
      <c r="C84" s="65">
        <v>308</v>
      </c>
      <c r="D84" s="65">
        <v>0</v>
      </c>
      <c r="E84" s="65">
        <v>319</v>
      </c>
      <c r="F84" s="65">
        <v>230</v>
      </c>
      <c r="G84" s="65">
        <v>89</v>
      </c>
      <c r="H84" s="65">
        <f>9157-250</f>
        <v>8907</v>
      </c>
      <c r="I84" s="65">
        <v>305</v>
      </c>
      <c r="J84" s="65">
        <v>785</v>
      </c>
      <c r="K84" s="65">
        <f t="shared" si="0"/>
        <v>10943</v>
      </c>
      <c r="L84" s="65">
        <v>958</v>
      </c>
    </row>
    <row r="85" spans="2:12" ht="12.75">
      <c r="B85" s="64">
        <v>1996</v>
      </c>
      <c r="C85" s="65">
        <v>296</v>
      </c>
      <c r="D85" s="65">
        <v>0</v>
      </c>
      <c r="E85" s="65">
        <v>454</v>
      </c>
      <c r="F85" s="65">
        <v>676</v>
      </c>
      <c r="G85" s="65">
        <v>119</v>
      </c>
      <c r="H85" s="65">
        <f>11159-306</f>
        <v>10853</v>
      </c>
      <c r="I85" s="65">
        <v>309</v>
      </c>
      <c r="J85" s="65">
        <v>1015</v>
      </c>
      <c r="K85" s="65">
        <f t="shared" si="0"/>
        <v>13722</v>
      </c>
      <c r="L85" s="65">
        <v>1166</v>
      </c>
    </row>
    <row r="86" spans="2:12" ht="12.75">
      <c r="B86" s="64">
        <v>1997</v>
      </c>
      <c r="C86" s="65">
        <v>746</v>
      </c>
      <c r="D86" s="65">
        <v>0</v>
      </c>
      <c r="E86" s="65">
        <v>564</v>
      </c>
      <c r="F86" s="65">
        <v>945</v>
      </c>
      <c r="G86" s="65">
        <v>124</v>
      </c>
      <c r="H86" s="65">
        <f>13880-481</f>
        <v>13399</v>
      </c>
      <c r="I86" s="65">
        <v>519</v>
      </c>
      <c r="J86" s="65">
        <v>1194</v>
      </c>
      <c r="K86" s="65">
        <f t="shared" si="0"/>
        <v>17491</v>
      </c>
      <c r="L86" s="65">
        <v>1747</v>
      </c>
    </row>
    <row r="87" spans="2:12" ht="12.75">
      <c r="B87" s="64">
        <v>1998</v>
      </c>
      <c r="C87" s="65">
        <v>473</v>
      </c>
      <c r="D87" s="65">
        <v>0</v>
      </c>
      <c r="E87" s="65">
        <v>597</v>
      </c>
      <c r="F87" s="65">
        <v>1365</v>
      </c>
      <c r="G87" s="65">
        <v>129</v>
      </c>
      <c r="H87" s="65">
        <f>16927-504</f>
        <v>16423</v>
      </c>
      <c r="I87" s="65">
        <v>529</v>
      </c>
      <c r="J87" s="65">
        <v>1453</v>
      </c>
      <c r="K87" s="65">
        <f t="shared" si="0"/>
        <v>20969</v>
      </c>
      <c r="L87" s="65">
        <v>1787</v>
      </c>
    </row>
    <row r="88" spans="2:12" ht="12.75">
      <c r="B88" s="64">
        <v>1999</v>
      </c>
      <c r="C88" s="65">
        <v>651</v>
      </c>
      <c r="D88" s="65">
        <v>0</v>
      </c>
      <c r="E88" s="65">
        <v>635</v>
      </c>
      <c r="F88" s="65">
        <v>1892</v>
      </c>
      <c r="G88" s="65">
        <v>219</v>
      </c>
      <c r="H88" s="65">
        <v>17842</v>
      </c>
      <c r="I88" s="65">
        <v>511</v>
      </c>
      <c r="J88" s="65">
        <v>1318</v>
      </c>
      <c r="K88" s="65">
        <f t="shared" si="0"/>
        <v>23068</v>
      </c>
      <c r="L88" s="65">
        <v>2239</v>
      </c>
    </row>
    <row r="89" spans="2:12" ht="12.75">
      <c r="B89" s="64">
        <v>2000</v>
      </c>
      <c r="C89" s="65">
        <v>690</v>
      </c>
      <c r="D89" s="65">
        <v>0</v>
      </c>
      <c r="E89" s="65">
        <v>828</v>
      </c>
      <c r="F89" s="65">
        <v>2106</v>
      </c>
      <c r="G89" s="65">
        <v>230</v>
      </c>
      <c r="H89" s="65">
        <v>17281</v>
      </c>
      <c r="I89" s="65">
        <v>773</v>
      </c>
      <c r="J89" s="65">
        <v>1462</v>
      </c>
      <c r="K89" s="65">
        <f t="shared" si="0"/>
        <v>23370</v>
      </c>
      <c r="L89" s="65">
        <v>2350</v>
      </c>
    </row>
    <row r="90" spans="2:12" ht="12.75">
      <c r="B90" s="64">
        <v>2001</v>
      </c>
      <c r="C90" s="65">
        <v>661</v>
      </c>
      <c r="D90" s="65">
        <v>0</v>
      </c>
      <c r="E90" s="65">
        <v>1176</v>
      </c>
      <c r="F90" s="65">
        <v>2324</v>
      </c>
      <c r="G90" s="65">
        <v>23</v>
      </c>
      <c r="H90" s="65">
        <v>16157</v>
      </c>
      <c r="I90" s="65">
        <v>825</v>
      </c>
      <c r="J90" s="65">
        <v>1613</v>
      </c>
      <c r="K90" s="65">
        <f t="shared" si="0"/>
        <v>22779</v>
      </c>
      <c r="L90" s="65">
        <v>2501</v>
      </c>
    </row>
    <row r="91" spans="2:12" ht="12.75">
      <c r="B91" s="64">
        <v>2002</v>
      </c>
      <c r="C91" s="65">
        <v>220</v>
      </c>
      <c r="D91" s="65">
        <v>402</v>
      </c>
      <c r="E91" s="65">
        <v>1380</v>
      </c>
      <c r="F91" s="65">
        <v>2521</v>
      </c>
      <c r="G91" s="65">
        <v>23</v>
      </c>
      <c r="H91" s="65">
        <v>14752</v>
      </c>
      <c r="I91" s="65">
        <v>632</v>
      </c>
      <c r="J91" s="65">
        <v>2725</v>
      </c>
      <c r="K91" s="66">
        <f t="shared" si="0"/>
        <v>22655</v>
      </c>
      <c r="L91" s="65">
        <v>2259</v>
      </c>
    </row>
    <row r="92" spans="2:12">
      <c r="B92" s="67">
        <v>2003</v>
      </c>
      <c r="C92" s="66">
        <f>(0.18+235.56+1.18+175.69+1550.01+186.84+505.68+27.76+1401.5+48.68)/10</f>
        <v>413.30799999999999</v>
      </c>
      <c r="D92" s="66">
        <f>(20+4000+0.1)/10</f>
        <v>402.01</v>
      </c>
      <c r="E92" s="66">
        <f>(3820.33-D92-F92-G92)</f>
        <v>1380.6779999999994</v>
      </c>
      <c r="F92" s="66">
        <f>(1485.29+19805.74+471-1705.61)/10</f>
        <v>2005.6420000000003</v>
      </c>
      <c r="G92" s="66">
        <f>(210+50+50+10)/10</f>
        <v>32</v>
      </c>
      <c r="H92" s="66">
        <f>132127.58/10</f>
        <v>13212.757999999998</v>
      </c>
      <c r="I92" s="66">
        <f>6131.41/10</f>
        <v>613.14099999999996</v>
      </c>
      <c r="J92" s="66">
        <f>(40606.07+155.08+11439.73)/10-C92</f>
        <v>4806.7800000000007</v>
      </c>
      <c r="K92" s="66">
        <f t="shared" si="0"/>
        <v>22866.316999999995</v>
      </c>
      <c r="L92" s="66">
        <f>(4975.59+14362.82)/10</f>
        <v>1933.8409999999999</v>
      </c>
    </row>
    <row r="93" spans="2:12">
      <c r="B93" s="67">
        <v>2004</v>
      </c>
      <c r="C93" s="66">
        <f>+(0.2+230.66+0.76+122.33+500+115.66+28.68+186.5+40.04)/10</f>
        <v>122.48299999999999</v>
      </c>
      <c r="D93" s="66">
        <f>+(4000+3892.9)/10</f>
        <v>789.29</v>
      </c>
      <c r="E93" s="66">
        <f>+(3563.55-F93-G93-D93)</f>
        <v>1119.1370000000002</v>
      </c>
      <c r="F93" s="66">
        <f>+(1547.52+18024.76+156.66-3287.71)/10</f>
        <v>1644.123</v>
      </c>
      <c r="G93" s="66">
        <f>+(50+50+10)/10</f>
        <v>11</v>
      </c>
      <c r="H93" s="66">
        <v>10099</v>
      </c>
      <c r="I93" s="66">
        <v>588</v>
      </c>
      <c r="J93" s="66">
        <f>+(1664.527-C93+4.643+4373.754)</f>
        <v>5920.4409999999998</v>
      </c>
      <c r="K93" s="66">
        <f t="shared" si="0"/>
        <v>20293.473999999998</v>
      </c>
      <c r="L93" s="66">
        <v>1125</v>
      </c>
    </row>
    <row r="94" spans="2:12">
      <c r="B94" s="67">
        <v>2005</v>
      </c>
      <c r="C94" s="66">
        <f>+(0.1+9.25+0.06+18.36+165+0.11+4.1+2.58)</f>
        <v>199.56000000000003</v>
      </c>
      <c r="D94" s="66">
        <f>+(400+0.01)</f>
        <v>400.01</v>
      </c>
      <c r="E94" s="66">
        <f>+(2834.83-F94-G94-D94)</f>
        <v>1135.47</v>
      </c>
      <c r="F94" s="66">
        <f>+(112.78+1483.36+101.35-409.14)</f>
        <v>1288.3499999999999</v>
      </c>
      <c r="G94" s="66">
        <f>+(5+5+1)</f>
        <v>11</v>
      </c>
      <c r="H94" s="66">
        <v>8099.72</v>
      </c>
      <c r="I94" s="66">
        <v>563.54999999999995</v>
      </c>
      <c r="J94" s="66">
        <f>+(1538.46-C94+0.91+4698.15)</f>
        <v>6037.96</v>
      </c>
      <c r="K94" s="66">
        <f t="shared" ref="K94:K99" si="1">SUM(C94:J94)</f>
        <v>17735.62</v>
      </c>
      <c r="L94" s="66">
        <f>597.52+237.13</f>
        <v>834.65</v>
      </c>
    </row>
    <row r="95" spans="2:12">
      <c r="B95" s="67">
        <v>2006</v>
      </c>
      <c r="C95" s="66">
        <f>+(0.01+5.84+0.08+18.18+1005.57+0.11+0+0.75)</f>
        <v>1030.54</v>
      </c>
      <c r="D95" s="66">
        <f>+(400+0.01)</f>
        <v>400.01</v>
      </c>
      <c r="E95" s="66">
        <f>735.89+436.52+71.31+0.51+50+41.01+12.9+70.54-358.72</f>
        <v>1059.9599999999998</v>
      </c>
      <c r="F95" s="66">
        <f>+(116.35+888.74+20.87+5+5+1+153.22-570.11)</f>
        <v>620.07000000000005</v>
      </c>
      <c r="G95" s="66">
        <v>0</v>
      </c>
      <c r="H95" s="66">
        <v>6522.16</v>
      </c>
      <c r="I95" s="66">
        <v>540.36</v>
      </c>
      <c r="J95" s="66">
        <f>+(2292.32-C95+0.03+4772.25)</f>
        <v>6034.06</v>
      </c>
      <c r="K95" s="66">
        <f t="shared" si="1"/>
        <v>16207.16</v>
      </c>
      <c r="L95" s="66">
        <f>288.69+212.2</f>
        <v>500.89</v>
      </c>
    </row>
    <row r="96" spans="2:12">
      <c r="B96" s="67">
        <v>2007</v>
      </c>
      <c r="C96" s="66">
        <f>+(0.1+4.83+0.03+12.42+1360.65+100.43+0+0)</f>
        <v>1478.4600000000003</v>
      </c>
      <c r="D96" s="66">
        <f>+(400+0.01)</f>
        <v>400.01</v>
      </c>
      <c r="E96" s="66">
        <f>686.87+423.7+82.17+10+34.82+0.51+120.89+12.9-369.54</f>
        <v>1002.3200000000002</v>
      </c>
      <c r="F96" s="66">
        <f>+(200.25+799.63+20.87+5+5+1+183.47-447.02)</f>
        <v>768.2</v>
      </c>
      <c r="G96" s="66">
        <v>0</v>
      </c>
      <c r="H96" s="66">
        <v>6051.78</v>
      </c>
      <c r="I96" s="66">
        <v>949.18</v>
      </c>
      <c r="J96" s="66">
        <f>+(3623.41-C96+0+2682.42+836.2+238.85-238.85)</f>
        <v>5663.57</v>
      </c>
      <c r="K96" s="66">
        <f t="shared" si="1"/>
        <v>16313.52</v>
      </c>
      <c r="L96" s="66">
        <f>44.81+193.9</f>
        <v>238.71</v>
      </c>
    </row>
    <row r="97" spans="2:12">
      <c r="B97" s="67">
        <v>2008</v>
      </c>
      <c r="C97" s="66">
        <f>+(0.2+21.9+0.04+9.9+3370+3.29+52.16+25)</f>
        <v>3482.49</v>
      </c>
      <c r="D97" s="66">
        <f>+(400+0.01+20.41)</f>
        <v>420.42</v>
      </c>
      <c r="E97" s="66">
        <f>50.44+391.37+40.77+0.51+14.9+3.48+6.86+201.02+436.89+8.75+70.47+86.35+1.73-372.08</f>
        <v>941.46</v>
      </c>
      <c r="F97" s="66">
        <f>+(20.87+792.52+166.53+350.79-476.55)</f>
        <v>854.16000000000008</v>
      </c>
      <c r="G97" s="66">
        <v>0</v>
      </c>
      <c r="H97" s="66">
        <v>5355.35</v>
      </c>
      <c r="I97" s="66">
        <v>922.88</v>
      </c>
      <c r="J97" s="66">
        <f>+(4592.14-C97+0+2037.72+0+217.49-162.81)</f>
        <v>3202.0500000000006</v>
      </c>
      <c r="K97" s="66">
        <f t="shared" si="1"/>
        <v>15178.810000000001</v>
      </c>
      <c r="L97" s="66">
        <f>2.83+190.42</f>
        <v>193.25</v>
      </c>
    </row>
    <row r="98" spans="2:12">
      <c r="B98" s="65">
        <v>2009</v>
      </c>
      <c r="C98" s="68">
        <v>483.59</v>
      </c>
      <c r="D98" s="68">
        <f>+(400+0.01+95.34+4.94)-5.99</f>
        <v>494.3</v>
      </c>
      <c r="E98" s="68">
        <f>823.87+0.51+6.9+56+228.63+90.19+0.35+7.25+0.07+0.03+0.06+431.09+545.44+7.75+41.4+139.81+337.65-436.65-1.54+107.33+24.13</f>
        <v>2410.2699999999995</v>
      </c>
      <c r="F98" s="68">
        <f>350.79+844.33+150.27-384.21+142.7</f>
        <v>1103.8800000000001</v>
      </c>
      <c r="G98" s="68">
        <v>0</v>
      </c>
      <c r="H98" s="68">
        <v>7019.9</v>
      </c>
      <c r="I98" s="68">
        <v>880.57</v>
      </c>
      <c r="J98" s="68">
        <f>1726.31+144.25+174.96+414.23+[1]Liab!G94+79.94+0.02+15.61+2.47-67.73</f>
        <v>2490.06</v>
      </c>
      <c r="K98" s="68">
        <f t="shared" si="1"/>
        <v>14882.569999999998</v>
      </c>
      <c r="L98" s="66">
        <v>186.65</v>
      </c>
    </row>
    <row r="99" spans="2:12">
      <c r="B99" s="65">
        <v>2010</v>
      </c>
      <c r="C99" s="68">
        <v>38.53</v>
      </c>
      <c r="D99" s="68">
        <f>400+0.01+66.95-1.55</f>
        <v>465.40999999999997</v>
      </c>
      <c r="E99" s="68">
        <f>914.74+0.51+6.9+107.55+339.53+90.19+0.8+7.25+0.07+0.03+0.13+1014.65+486.02+480.3+5.25+93.1+39.71+120.22-454.99+138.78+761.12</f>
        <v>4151.8600000000006</v>
      </c>
      <c r="F99" s="68">
        <f>230.79+861.93+133.93-224.72+216.98</f>
        <v>1218.9100000000001</v>
      </c>
      <c r="G99" s="68">
        <v>0</v>
      </c>
      <c r="H99" s="68">
        <v>10171.81</v>
      </c>
      <c r="I99" s="68">
        <v>1450.1</v>
      </c>
      <c r="J99" s="68">
        <f>1387.44+59.95+187.6+411.35+[1]Liab!G95+57.25+0.02+15.61-26.63</f>
        <v>2092.59</v>
      </c>
      <c r="K99" s="68">
        <f t="shared" si="1"/>
        <v>19589.21</v>
      </c>
      <c r="L99" s="68">
        <f>50+6.87+0.67</f>
        <v>57.54</v>
      </c>
    </row>
    <row r="100" spans="2:12">
      <c r="B100" s="65">
        <v>2011</v>
      </c>
      <c r="C100" s="68">
        <v>527.86</v>
      </c>
      <c r="D100" s="68">
        <f>400+0.01+0</f>
        <v>400.01</v>
      </c>
      <c r="E100" s="68">
        <f>1046.06+0.51+6.9+107.55+494.21+90.19+0.8+7.25+0.07+0.03+0.13+1716.01+307.08+489.93+5.25+168.55+6.31+0+4.9-439.78+205.26+1227.44+0.06</f>
        <v>5444.7100000000019</v>
      </c>
      <c r="F100" s="68">
        <f>230.53+1658.1+96.78-174.13+125.85-0.7</f>
        <v>1936.4299999999996</v>
      </c>
      <c r="G100" s="68">
        <v>0</v>
      </c>
      <c r="H100" s="68">
        <v>14399.85</v>
      </c>
      <c r="I100" s="68">
        <v>1212.6099999999999</v>
      </c>
      <c r="J100" s="68">
        <f>1020.91+75.67+242.49+430+[1]Liab!G96+159.16+76.27+15.61-26.63</f>
        <v>1993.4799999999998</v>
      </c>
      <c r="K100" s="68">
        <f>SUM(C100:J100)</f>
        <v>25914.95</v>
      </c>
      <c r="L100" s="68">
        <f>26.96+8.87+0.6</f>
        <v>36.43</v>
      </c>
    </row>
    <row r="101" spans="2:12">
      <c r="B101" s="65">
        <v>2012</v>
      </c>
      <c r="C101" s="68">
        <v>898.61</v>
      </c>
      <c r="D101" s="68">
        <f>400+0.01+0</f>
        <v>400.01</v>
      </c>
      <c r="E101" s="68">
        <f>1743.51+0.51+3648.1+386.61+274.75+0-488.9+302.81+140.11+947.72+0.06</f>
        <v>6955.2800000000007</v>
      </c>
      <c r="F101" s="68">
        <f>230.45+3130.66+70.43-188.99+123-0.38</f>
        <v>3365.1699999999992</v>
      </c>
      <c r="G101" s="68">
        <v>0</v>
      </c>
      <c r="H101" s="68">
        <v>13979.93</v>
      </c>
      <c r="I101" s="68">
        <v>1171.67</v>
      </c>
      <c r="J101" s="68">
        <f>836.92+15.58+(102.94+149.44+21.2)+296.24+[1]Liab!G97+160.05-26.59</f>
        <v>1555.78</v>
      </c>
      <c r="K101" s="68">
        <f>SUM(C101:J101)</f>
        <v>28326.449999999997</v>
      </c>
      <c r="L101" s="68">
        <f>26.96+8.87+0.66</f>
        <v>36.489999999999995</v>
      </c>
    </row>
    <row r="102" spans="2:12">
      <c r="B102" s="69">
        <v>2013</v>
      </c>
      <c r="C102" s="68">
        <v>514.66999999999996</v>
      </c>
      <c r="D102" s="68">
        <f>400</f>
        <v>400</v>
      </c>
      <c r="E102" s="68">
        <v>6496</v>
      </c>
      <c r="F102" s="68">
        <f>230.37+64.07+1330.17+27.64-22.42-54.59+3099.56</f>
        <v>4674.8</v>
      </c>
      <c r="G102" s="68">
        <v>0</v>
      </c>
      <c r="H102" s="68">
        <v>11180.36</v>
      </c>
      <c r="I102" s="68">
        <v>1172.5899999999999</v>
      </c>
      <c r="J102" s="68">
        <f>726.79+106.03+216.32+34.75+4.57+186.59+[1]Liab!G98+220.89-51</f>
        <v>1444.9399999999996</v>
      </c>
      <c r="K102" s="70">
        <f>SUM(C102:J102)</f>
        <v>25883.360000000001</v>
      </c>
      <c r="L102" s="68">
        <f>34.87+0.02</f>
        <v>34.89</v>
      </c>
    </row>
    <row r="103" spans="2:12">
      <c r="B103" s="69">
        <v>2014</v>
      </c>
      <c r="C103" s="68">
        <v>535.83000000000004</v>
      </c>
      <c r="D103" s="68">
        <f>400+48</f>
        <v>448</v>
      </c>
      <c r="E103" s="68">
        <f>1404.33+3747.34+365.4+246.56+0-623.18+20+26.59-26.59</f>
        <v>5160.45</v>
      </c>
      <c r="F103" s="68">
        <f>120.24+102.64+51.96-11.47-51.96+2920+529-89+1269+443-18</f>
        <v>5265.41</v>
      </c>
      <c r="G103" s="68">
        <v>0</v>
      </c>
      <c r="H103" s="68">
        <f>17953.67-1265+1456+52-2920</f>
        <v>15276.669999999998</v>
      </c>
      <c r="I103" s="68">
        <v>1147</v>
      </c>
      <c r="J103" s="71">
        <f>682.04+183.57+4.55+34+34.31+219-1+0.92+0.8+270</f>
        <v>1428.1899999999998</v>
      </c>
      <c r="K103" s="71">
        <f>SUM(C103:J103)</f>
        <v>29261.549999999996</v>
      </c>
      <c r="L103" s="68">
        <f>84.87+0.02</f>
        <v>84.89</v>
      </c>
    </row>
    <row r="104" spans="2:12" ht="12.75">
      <c r="E104" s="72"/>
      <c r="F104" s="72"/>
      <c r="G104" s="72"/>
      <c r="H104" s="73"/>
      <c r="I104" s="72"/>
      <c r="J104" s="74"/>
      <c r="K104" s="72"/>
      <c r="L104" s="74">
        <f>K102-26174</f>
        <v>-290.63999999999942</v>
      </c>
    </row>
    <row r="105" spans="2:12" ht="12.75">
      <c r="E105" s="74">
        <f>E102-6496</f>
        <v>0</v>
      </c>
      <c r="F105" s="72"/>
      <c r="G105" s="72"/>
      <c r="H105" s="72"/>
      <c r="I105" s="72"/>
      <c r="J105" s="72"/>
      <c r="K105" s="74"/>
      <c r="L105" s="72"/>
    </row>
    <row r="106" spans="2:12" ht="12.75">
      <c r="C106" s="72"/>
      <c r="D106" s="72"/>
      <c r="E106" s="72"/>
      <c r="F106" s="72"/>
      <c r="G106" s="72"/>
      <c r="H106" s="72"/>
      <c r="I106" s="72"/>
      <c r="J106" s="72"/>
      <c r="K106" s="72"/>
      <c r="L106" s="72"/>
    </row>
    <row r="107" spans="2:12" ht="12.75">
      <c r="B107" t="s">
        <v>123</v>
      </c>
      <c r="C107" s="72" t="s">
        <v>124</v>
      </c>
      <c r="D107" s="72"/>
    </row>
    <row r="108" spans="2:12" ht="12.75">
      <c r="B108" t="s">
        <v>125</v>
      </c>
      <c r="C108" s="72" t="s">
        <v>126</v>
      </c>
      <c r="D108" s="72"/>
    </row>
    <row r="109" spans="2:12" ht="12.75">
      <c r="B109" t="s">
        <v>127</v>
      </c>
      <c r="C109" s="72"/>
      <c r="D109" s="72" t="s">
        <v>128</v>
      </c>
    </row>
  </sheetData>
  <mergeCells count="3">
    <mergeCell ref="I28:J28"/>
    <mergeCell ref="I29:N29"/>
    <mergeCell ref="B47:L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RowHeight="12"/>
  <sheetData>
    <row r="1" spans="1:14">
      <c r="A1" t="s">
        <v>129</v>
      </c>
    </row>
    <row r="3" spans="1:14">
      <c r="J3" t="s">
        <v>130</v>
      </c>
    </row>
    <row r="4" spans="1:14">
      <c r="A4" t="s">
        <v>48</v>
      </c>
      <c r="B4" t="s">
        <v>49</v>
      </c>
      <c r="G4" t="s">
        <v>56</v>
      </c>
      <c r="H4" t="s">
        <v>131</v>
      </c>
      <c r="K4" t="s">
        <v>56</v>
      </c>
    </row>
    <row r="5" spans="1:14">
      <c r="B5" t="s">
        <v>6</v>
      </c>
      <c r="C5" t="s">
        <v>34</v>
      </c>
      <c r="D5" t="s">
        <v>54</v>
      </c>
      <c r="E5" t="s">
        <v>55</v>
      </c>
      <c r="F5" t="s">
        <v>1</v>
      </c>
      <c r="G5" t="s">
        <v>64</v>
      </c>
      <c r="H5" t="s">
        <v>83</v>
      </c>
      <c r="I5" t="s">
        <v>85</v>
      </c>
      <c r="J5" t="s">
        <v>1</v>
      </c>
      <c r="K5" t="s">
        <v>74</v>
      </c>
      <c r="N5" t="s">
        <v>132</v>
      </c>
    </row>
    <row r="6" spans="1:14">
      <c r="B6" t="s">
        <v>57</v>
      </c>
      <c r="C6" t="s">
        <v>133</v>
      </c>
      <c r="D6" t="s">
        <v>62</v>
      </c>
      <c r="F6" t="s">
        <v>63</v>
      </c>
      <c r="G6" t="s">
        <v>74</v>
      </c>
      <c r="H6" t="s">
        <v>88</v>
      </c>
      <c r="I6" t="s">
        <v>22</v>
      </c>
      <c r="J6" t="s">
        <v>18</v>
      </c>
      <c r="N6" t="s">
        <v>134</v>
      </c>
    </row>
    <row r="7" spans="1:14">
      <c r="F7" t="s">
        <v>135</v>
      </c>
      <c r="H7" t="s">
        <v>45</v>
      </c>
      <c r="J7" t="s">
        <v>136</v>
      </c>
      <c r="N7" t="s">
        <v>137</v>
      </c>
    </row>
    <row r="8" spans="1:14">
      <c r="A8">
        <v>1</v>
      </c>
      <c r="B8">
        <v>2</v>
      </c>
      <c r="C8">
        <v>3</v>
      </c>
      <c r="D8">
        <v>4</v>
      </c>
      <c r="E8">
        <v>5</v>
      </c>
      <c r="F8">
        <v>6</v>
      </c>
      <c r="G8">
        <v>7</v>
      </c>
      <c r="H8">
        <v>8</v>
      </c>
      <c r="I8">
        <v>9</v>
      </c>
      <c r="J8">
        <v>10</v>
      </c>
      <c r="K8">
        <v>11</v>
      </c>
      <c r="N8">
        <v>12</v>
      </c>
    </row>
    <row r="9" spans="1:14">
      <c r="A9">
        <v>1991</v>
      </c>
      <c r="B9">
        <v>1350</v>
      </c>
      <c r="C9">
        <v>3894</v>
      </c>
      <c r="D9">
        <v>31052</v>
      </c>
      <c r="E9">
        <v>24142</v>
      </c>
      <c r="F9">
        <v>4472</v>
      </c>
      <c r="G9">
        <v>64910</v>
      </c>
      <c r="H9">
        <v>664</v>
      </c>
      <c r="I9">
        <v>53622</v>
      </c>
      <c r="J9">
        <v>10624</v>
      </c>
      <c r="L9">
        <v>0</v>
      </c>
      <c r="M9">
        <v>64910</v>
      </c>
    </row>
    <row r="10" spans="1:14">
      <c r="A10">
        <v>1996</v>
      </c>
      <c r="B10">
        <v>3526</v>
      </c>
      <c r="C10">
        <v>12825</v>
      </c>
      <c r="D10">
        <v>60007</v>
      </c>
      <c r="E10">
        <v>52369</v>
      </c>
      <c r="F10">
        <v>8496</v>
      </c>
      <c r="G10">
        <v>137223</v>
      </c>
      <c r="H10">
        <v>2958</v>
      </c>
      <c r="I10">
        <v>108534</v>
      </c>
      <c r="J10">
        <v>25731</v>
      </c>
      <c r="L10">
        <v>0</v>
      </c>
      <c r="M10">
        <v>137223</v>
      </c>
    </row>
    <row r="11" spans="1:14">
      <c r="A11">
        <v>1997</v>
      </c>
      <c r="B11">
        <v>3528</v>
      </c>
      <c r="C11">
        <v>13509</v>
      </c>
      <c r="D11">
        <v>96848</v>
      </c>
      <c r="E11">
        <v>49145</v>
      </c>
      <c r="F11">
        <v>11889</v>
      </c>
      <c r="G11">
        <v>174919</v>
      </c>
      <c r="H11">
        <v>7462</v>
      </c>
      <c r="I11">
        <v>133997</v>
      </c>
      <c r="J11">
        <v>33460</v>
      </c>
      <c r="L11">
        <v>0</v>
      </c>
      <c r="M11">
        <v>174919</v>
      </c>
    </row>
    <row r="12" spans="1:14">
      <c r="A12">
        <v>1998</v>
      </c>
      <c r="B12">
        <v>4529</v>
      </c>
      <c r="C12">
        <v>12440</v>
      </c>
      <c r="D12">
        <v>128314</v>
      </c>
      <c r="E12">
        <v>51402</v>
      </c>
      <c r="F12">
        <v>13005</v>
      </c>
      <c r="G12">
        <v>209690</v>
      </c>
      <c r="H12">
        <v>4734</v>
      </c>
      <c r="I12">
        <v>164233</v>
      </c>
      <c r="J12">
        <v>40723</v>
      </c>
      <c r="L12">
        <v>0</v>
      </c>
      <c r="M12">
        <v>209690</v>
      </c>
    </row>
    <row r="13" spans="1:14">
      <c r="A13">
        <v>1999</v>
      </c>
      <c r="B13">
        <v>7905</v>
      </c>
      <c r="C13">
        <v>9361</v>
      </c>
      <c r="D13">
        <v>154093</v>
      </c>
      <c r="E13">
        <v>47106</v>
      </c>
      <c r="F13">
        <v>12212</v>
      </c>
      <c r="G13">
        <v>230677</v>
      </c>
      <c r="H13">
        <v>6509</v>
      </c>
      <c r="I13">
        <v>178418</v>
      </c>
      <c r="J13">
        <v>45750</v>
      </c>
      <c r="L13">
        <v>0</v>
      </c>
      <c r="M13">
        <v>230677</v>
      </c>
    </row>
    <row r="14" spans="1:14">
      <c r="A14">
        <v>2000</v>
      </c>
      <c r="B14">
        <v>10964</v>
      </c>
      <c r="C14">
        <v>9068</v>
      </c>
      <c r="D14">
        <v>149714</v>
      </c>
      <c r="E14">
        <v>50610</v>
      </c>
      <c r="F14">
        <v>13355</v>
      </c>
      <c r="G14">
        <v>233711</v>
      </c>
      <c r="H14">
        <v>6901</v>
      </c>
      <c r="I14">
        <v>172809</v>
      </c>
      <c r="J14">
        <v>54001</v>
      </c>
      <c r="L14">
        <v>0</v>
      </c>
      <c r="M14">
        <v>233711</v>
      </c>
    </row>
    <row r="15" spans="1:14">
      <c r="A15">
        <v>2001</v>
      </c>
      <c r="B15">
        <v>10879.5</v>
      </c>
      <c r="C15">
        <v>5051</v>
      </c>
      <c r="D15">
        <v>154805</v>
      </c>
      <c r="E15">
        <v>45068</v>
      </c>
      <c r="F15">
        <v>11984</v>
      </c>
      <c r="G15">
        <v>227787.5</v>
      </c>
      <c r="H15">
        <v>6611</v>
      </c>
      <c r="I15">
        <v>161578</v>
      </c>
      <c r="J15">
        <v>59599</v>
      </c>
      <c r="K15">
        <v>227788</v>
      </c>
      <c r="L15">
        <v>-0.5</v>
      </c>
      <c r="M15">
        <v>227788</v>
      </c>
      <c r="N15">
        <v>-0.5</v>
      </c>
    </row>
    <row r="16" spans="1:14">
      <c r="A16">
        <v>2002</v>
      </c>
      <c r="B16">
        <v>10679.5</v>
      </c>
      <c r="C16">
        <v>4977</v>
      </c>
      <c r="D16">
        <v>159004</v>
      </c>
      <c r="E16">
        <v>38383</v>
      </c>
      <c r="F16">
        <v>13513</v>
      </c>
      <c r="G16">
        <v>226556.5</v>
      </c>
      <c r="H16">
        <v>2199</v>
      </c>
      <c r="I16">
        <v>147516</v>
      </c>
      <c r="J16">
        <v>76842</v>
      </c>
      <c r="K16">
        <v>226557</v>
      </c>
      <c r="L16">
        <v>-0.5</v>
      </c>
      <c r="M16">
        <v>226557</v>
      </c>
      <c r="N16">
        <v>-0.5</v>
      </c>
    </row>
    <row r="17" spans="1:14">
      <c r="A17">
        <v>2003</v>
      </c>
      <c r="B17">
        <v>10679.5</v>
      </c>
      <c r="C17">
        <v>4697.0200000000004</v>
      </c>
      <c r="D17">
        <v>157665.5</v>
      </c>
      <c r="E17">
        <v>43820</v>
      </c>
      <c r="F17">
        <v>11801</v>
      </c>
      <c r="G17">
        <v>228663.02</v>
      </c>
      <c r="H17">
        <v>4133.08</v>
      </c>
      <c r="I17">
        <v>132127.57999999999</v>
      </c>
      <c r="J17">
        <v>92402.51</v>
      </c>
      <c r="K17">
        <v>228663.16999999998</v>
      </c>
      <c r="L17">
        <v>-0.14999999999417923</v>
      </c>
      <c r="M17">
        <v>228663.16999999998</v>
      </c>
      <c r="N17">
        <v>-0.14999999999417923</v>
      </c>
    </row>
    <row r="18" spans="1:14">
      <c r="A18">
        <v>2004</v>
      </c>
      <c r="B18">
        <v>10679.5</v>
      </c>
      <c r="C18">
        <v>4550</v>
      </c>
      <c r="D18">
        <v>134612.84</v>
      </c>
      <c r="E18">
        <v>37184</v>
      </c>
      <c r="F18">
        <v>15905</v>
      </c>
      <c r="G18">
        <v>202931.34</v>
      </c>
      <c r="H18">
        <v>1224.83</v>
      </c>
      <c r="I18">
        <v>100988</v>
      </c>
      <c r="J18">
        <v>100719.87000000001</v>
      </c>
      <c r="K18">
        <v>202932.7</v>
      </c>
      <c r="L18">
        <v>-1.360000000015134</v>
      </c>
      <c r="M18">
        <v>202932.7</v>
      </c>
      <c r="N18">
        <v>-1.360000000015134</v>
      </c>
    </row>
    <row r="19" spans="1:14">
      <c r="A19">
        <v>2005</v>
      </c>
      <c r="B19">
        <v>10679.5</v>
      </c>
      <c r="C19">
        <v>4474.24</v>
      </c>
      <c r="D19">
        <v>116289.70000000001</v>
      </c>
      <c r="E19">
        <v>33520</v>
      </c>
      <c r="F19">
        <v>12392</v>
      </c>
      <c r="G19">
        <v>177355.44</v>
      </c>
      <c r="H19">
        <v>1995.6000000000004</v>
      </c>
      <c r="I19">
        <v>80997.2</v>
      </c>
      <c r="J19">
        <v>94363.4</v>
      </c>
      <c r="K19">
        <v>177356.2</v>
      </c>
      <c r="L19">
        <v>-0.76000000000931323</v>
      </c>
      <c r="M19">
        <v>177356.2</v>
      </c>
      <c r="N19">
        <v>-0.76000000000931323</v>
      </c>
    </row>
    <row r="20" spans="1:14">
      <c r="A20">
        <v>2006</v>
      </c>
      <c r="B20">
        <v>10679.5</v>
      </c>
      <c r="C20">
        <v>4429.8</v>
      </c>
      <c r="D20">
        <v>108064.1</v>
      </c>
      <c r="E20">
        <v>28238.2</v>
      </c>
      <c r="F20">
        <v>15672.2</v>
      </c>
      <c r="G20">
        <v>167083.80000000002</v>
      </c>
      <c r="H20">
        <v>10305.4</v>
      </c>
      <c r="I20">
        <v>70231.7</v>
      </c>
      <c r="J20">
        <v>86546.7</v>
      </c>
      <c r="K20">
        <v>167083.79999999999</v>
      </c>
      <c r="L20">
        <v>0</v>
      </c>
      <c r="M20">
        <v>167083.79999999999</v>
      </c>
      <c r="N20">
        <v>0</v>
      </c>
    </row>
    <row r="21" spans="1:14">
      <c r="A21">
        <v>2007</v>
      </c>
      <c r="B21">
        <v>10679.5</v>
      </c>
      <c r="C21">
        <v>8738.4</v>
      </c>
      <c r="D21">
        <v>102059.40000000001</v>
      </c>
      <c r="E21">
        <v>26641.9</v>
      </c>
      <c r="F21">
        <v>15016.000000000002</v>
      </c>
      <c r="G21">
        <v>163135.20000000001</v>
      </c>
      <c r="H21">
        <v>14783.7</v>
      </c>
      <c r="I21">
        <v>60517.799999999996</v>
      </c>
      <c r="J21">
        <v>87833.700000000026</v>
      </c>
      <c r="K21">
        <v>163135.20000000001</v>
      </c>
      <c r="L21">
        <v>0</v>
      </c>
      <c r="M21">
        <v>163135.20000000001</v>
      </c>
      <c r="N21">
        <v>0</v>
      </c>
    </row>
    <row r="22" spans="1:14">
      <c r="A22">
        <v>2008</v>
      </c>
      <c r="B22">
        <v>11903.2</v>
      </c>
      <c r="C22">
        <v>21345.5</v>
      </c>
      <c r="D22">
        <v>83415.999999999985</v>
      </c>
      <c r="E22">
        <v>18219.8</v>
      </c>
      <c r="F22">
        <v>16903.600000000002</v>
      </c>
      <c r="G22">
        <v>151788.09999999998</v>
      </c>
      <c r="H22">
        <v>34823.1</v>
      </c>
      <c r="I22">
        <v>53553.5</v>
      </c>
      <c r="J22">
        <v>63411.499999999993</v>
      </c>
      <c r="K22">
        <v>151788.1</v>
      </c>
      <c r="L22">
        <v>0</v>
      </c>
      <c r="M22">
        <v>151788.1</v>
      </c>
      <c r="N22">
        <v>0</v>
      </c>
    </row>
    <row r="23" spans="1:14">
      <c r="A23">
        <v>2009</v>
      </c>
      <c r="B23">
        <v>11082.9</v>
      </c>
      <c r="C23">
        <v>26324.7</v>
      </c>
      <c r="D23">
        <v>79111.100000000006</v>
      </c>
      <c r="E23">
        <v>17319.900000000001</v>
      </c>
      <c r="F23">
        <v>18874.199999999997</v>
      </c>
      <c r="G23">
        <v>152712.79999999999</v>
      </c>
      <c r="H23">
        <v>4835.8999999999996</v>
      </c>
      <c r="I23">
        <v>70199.100000000006</v>
      </c>
      <c r="J23">
        <v>77677.900000000009</v>
      </c>
      <c r="K23">
        <v>152712.90000000002</v>
      </c>
      <c r="L23">
        <v>-0.1000000000349246</v>
      </c>
      <c r="N23">
        <v>-0.1000000000349246</v>
      </c>
    </row>
    <row r="24" spans="1:14">
      <c r="A24">
        <v>2010</v>
      </c>
      <c r="B24">
        <v>10016.799999999999</v>
      </c>
      <c r="C24">
        <v>36081.199999999997</v>
      </c>
      <c r="D24">
        <v>82640.7</v>
      </c>
      <c r="E24">
        <v>52269.4</v>
      </c>
      <c r="F24">
        <v>18454.890000000003</v>
      </c>
      <c r="G24">
        <v>199462.99000000002</v>
      </c>
      <c r="H24">
        <v>385.3</v>
      </c>
      <c r="I24">
        <v>101718.1</v>
      </c>
      <c r="J24">
        <v>97359.5</v>
      </c>
      <c r="K24">
        <v>199462.90000000002</v>
      </c>
      <c r="L24">
        <v>8.999999999650754E-2</v>
      </c>
      <c r="N24">
        <v>8.999999999650754E-2</v>
      </c>
    </row>
    <row r="25" spans="1:14">
      <c r="A25">
        <v>2011</v>
      </c>
      <c r="B25">
        <v>10016.799999999999</v>
      </c>
      <c r="C25">
        <v>40017.199999999997</v>
      </c>
      <c r="D25">
        <v>98602.9</v>
      </c>
      <c r="E25">
        <v>93514.1</v>
      </c>
      <c r="F25">
        <v>21503.4</v>
      </c>
      <c r="G25">
        <v>263654.40000000002</v>
      </c>
      <c r="H25">
        <v>5278.6</v>
      </c>
      <c r="I25">
        <v>143998.5</v>
      </c>
      <c r="J25">
        <v>114377.3</v>
      </c>
      <c r="K25">
        <v>263654.40000000002</v>
      </c>
      <c r="L25">
        <v>0</v>
      </c>
      <c r="N25">
        <v>0</v>
      </c>
    </row>
    <row r="26" spans="1:14">
      <c r="A26">
        <v>2012</v>
      </c>
      <c r="B26">
        <v>10016.799999999999</v>
      </c>
      <c r="C26">
        <v>45340.7</v>
      </c>
      <c r="D26">
        <v>114424</v>
      </c>
      <c r="E26">
        <v>99226.1</v>
      </c>
      <c r="F26">
        <v>18912.599999999999</v>
      </c>
      <c r="G26">
        <v>287920.19999999995</v>
      </c>
      <c r="H26">
        <v>8986.1</v>
      </c>
      <c r="I26">
        <v>139799.29999999999</v>
      </c>
      <c r="J26">
        <v>139134.79999999999</v>
      </c>
      <c r="K26">
        <v>287920.19999999995</v>
      </c>
      <c r="L26">
        <v>0</v>
      </c>
      <c r="N26">
        <v>0</v>
      </c>
    </row>
    <row r="27" spans="1:14">
      <c r="A27">
        <v>2013</v>
      </c>
      <c r="B27">
        <v>19258.800000000003</v>
      </c>
      <c r="C27">
        <v>47573.100000000006</v>
      </c>
      <c r="D27">
        <v>110529.2</v>
      </c>
      <c r="E27">
        <v>68449.5</v>
      </c>
      <c r="F27">
        <v>15925.8</v>
      </c>
      <c r="G27">
        <v>261736.4</v>
      </c>
      <c r="H27">
        <v>5146.7</v>
      </c>
      <c r="I27">
        <v>111803.6</v>
      </c>
      <c r="J27">
        <v>144783.29999999999</v>
      </c>
      <c r="K27">
        <v>261733.59999999998</v>
      </c>
      <c r="N27">
        <v>2.8000000000174623</v>
      </c>
    </row>
    <row r="28" spans="1:14">
      <c r="A28">
        <v>2014</v>
      </c>
      <c r="B28">
        <v>19258.800000000003</v>
      </c>
      <c r="C28">
        <v>50568</v>
      </c>
      <c r="D28">
        <v>106498.69999999998</v>
      </c>
      <c r="E28">
        <v>101237.1</v>
      </c>
      <c r="F28">
        <v>15056.500000000002</v>
      </c>
      <c r="G28">
        <v>292619.09999999998</v>
      </c>
      <c r="H28">
        <v>5358.3</v>
      </c>
      <c r="I28">
        <v>152766.69999999998</v>
      </c>
      <c r="J28">
        <v>134490.5</v>
      </c>
      <c r="K28">
        <v>292615.5</v>
      </c>
      <c r="N28">
        <v>3.5999999999767169</v>
      </c>
    </row>
    <row r="31" spans="1:14">
      <c r="A31" t="s">
        <v>133</v>
      </c>
      <c r="B31" t="s">
        <v>138</v>
      </c>
    </row>
    <row r="32" spans="1:14">
      <c r="B32" t="s">
        <v>139</v>
      </c>
    </row>
    <row r="33" spans="1:2">
      <c r="A33" t="s">
        <v>135</v>
      </c>
      <c r="B33" t="s">
        <v>140</v>
      </c>
    </row>
    <row r="34" spans="1:2">
      <c r="A34" t="s">
        <v>136</v>
      </c>
      <c r="B34" t="s">
        <v>141</v>
      </c>
    </row>
    <row r="35" spans="1:2">
      <c r="A35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 24.5</vt:lpstr>
      <vt:lpstr>Sheet1</vt:lpstr>
      <vt:lpstr>Sheet2</vt:lpstr>
      <vt:lpstr>'T 24.5'!Print_Area</vt:lpstr>
      <vt:lpstr>'T 24.5'!Print_Area_MI</vt:lpstr>
    </vt:vector>
  </TitlesOfParts>
  <Company>J N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OF STATISTICS</dc:creator>
  <cp:lastModifiedBy>admin</cp:lastModifiedBy>
  <cp:lastPrinted>2017-08-18T10:20:45Z</cp:lastPrinted>
  <dcterms:created xsi:type="dcterms:W3CDTF">2000-11-27T06:57:17Z</dcterms:created>
  <dcterms:modified xsi:type="dcterms:W3CDTF">2018-09-11T06:54:32Z</dcterms:modified>
</cp:coreProperties>
</file>