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60" yWindow="-255" windowWidth="20730" windowHeight="11385"/>
  </bookViews>
  <sheets>
    <sheet name="Table 6.16" sheetId="26" r:id="rId1"/>
  </sheets>
  <definedNames>
    <definedName name="\x">#N/A</definedName>
    <definedName name="\z">#N/A</definedName>
    <definedName name="a" hidden="1">#REF!</definedName>
    <definedName name="Address">#REF!</definedName>
    <definedName name="ascd" hidden="1">#REF!</definedName>
    <definedName name="City">#REF!</definedName>
    <definedName name="Code" hidden="1">#REF!</definedName>
    <definedName name="Company">#REF!</definedName>
    <definedName name="Country">#REF!</definedName>
    <definedName name="data1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Email">#REF!</definedName>
    <definedName name="Fax">#REF!</definedName>
    <definedName name="FCode" hidden="1">#REF!</definedName>
    <definedName name="HiddenRows" hidden="1">#REF!</definedName>
    <definedName name="Name">#REF!</definedName>
    <definedName name="OrderTable" hidden="1">#REF!</definedName>
    <definedName name="Phone">#REF!</definedName>
    <definedName name="_xlnm.Print_Area" localSheetId="0">'Table 6.16'!$A$1:$M$145</definedName>
    <definedName name="ProdForm" hidden="1">#REF!</definedName>
    <definedName name="Product" hidden="1">#REF!</definedName>
    <definedName name="RCArea" hidden="1">#REF!</definedName>
    <definedName name="SpecialPrice" hidden="1">#REF!</definedName>
    <definedName name="State">#REF!</definedName>
    <definedName name="tbl_ProdInfo" hidden="1">#REF!</definedName>
    <definedName name="tru">#REF!</definedName>
    <definedName name="Zip">#REF!</definedName>
  </definedNames>
  <calcPr calcId="144525"/>
</workbook>
</file>

<file path=xl/calcChain.xml><?xml version="1.0" encoding="utf-8"?>
<calcChain xmlns="http://schemas.openxmlformats.org/spreadsheetml/2006/main">
  <c r="I143" i="26" l="1"/>
  <c r="M142" i="26"/>
  <c r="L141" i="26"/>
  <c r="L143" i="26" s="1"/>
  <c r="K141" i="26"/>
  <c r="M141" i="26" s="1"/>
  <c r="J141" i="26"/>
  <c r="J143" i="26" s="1"/>
  <c r="M140" i="26"/>
  <c r="M139" i="26"/>
  <c r="M138" i="26"/>
  <c r="M137" i="26"/>
  <c r="M136" i="26"/>
  <c r="M135" i="26"/>
  <c r="M134" i="26"/>
  <c r="M133" i="26"/>
  <c r="M132" i="26"/>
  <c r="M131" i="26"/>
  <c r="M130" i="26"/>
  <c r="M129" i="26"/>
  <c r="M128" i="26"/>
  <c r="M127" i="26"/>
  <c r="M126" i="26"/>
  <c r="M125" i="26"/>
  <c r="M124" i="26"/>
  <c r="M123" i="26"/>
  <c r="M122" i="26"/>
  <c r="M121" i="26"/>
  <c r="M120" i="26"/>
  <c r="M114" i="26"/>
  <c r="C113" i="26"/>
  <c r="M112" i="26"/>
  <c r="C112" i="26"/>
  <c r="M111" i="26"/>
  <c r="C111" i="26"/>
  <c r="M110" i="26"/>
  <c r="M109" i="26"/>
  <c r="C109" i="26"/>
  <c r="M108" i="26"/>
  <c r="C108" i="26"/>
  <c r="M107" i="26"/>
  <c r="C107" i="26"/>
  <c r="M106" i="26"/>
  <c r="C106" i="26"/>
  <c r="M105" i="26"/>
  <c r="M104" i="26"/>
  <c r="M103" i="26"/>
  <c r="C103" i="26"/>
  <c r="M102" i="26"/>
  <c r="C102" i="26"/>
  <c r="M101" i="26"/>
  <c r="C101" i="26"/>
  <c r="M100" i="26"/>
  <c r="C100" i="26"/>
  <c r="M99" i="26"/>
  <c r="C99" i="26"/>
  <c r="M98" i="26"/>
  <c r="C98" i="26"/>
  <c r="M97" i="26"/>
  <c r="C97" i="26"/>
  <c r="M96" i="26"/>
  <c r="C96" i="26"/>
  <c r="M95" i="26"/>
  <c r="C95" i="26"/>
  <c r="M94" i="26"/>
  <c r="C94" i="26"/>
  <c r="M93" i="26"/>
  <c r="C93" i="26"/>
  <c r="M92" i="26"/>
  <c r="C92" i="26"/>
  <c r="M90" i="26"/>
  <c r="C90" i="26"/>
  <c r="M89" i="26"/>
  <c r="C89" i="26"/>
  <c r="M88" i="26"/>
  <c r="C88" i="26"/>
  <c r="M87" i="26"/>
  <c r="C87" i="26"/>
  <c r="M86" i="26"/>
  <c r="C86" i="26"/>
  <c r="M85" i="26"/>
  <c r="C85" i="26"/>
  <c r="M84" i="26"/>
  <c r="C84" i="26"/>
  <c r="M83" i="26"/>
  <c r="C83" i="26"/>
  <c r="M82" i="26"/>
  <c r="C82" i="26"/>
  <c r="M81" i="26"/>
  <c r="C81" i="26"/>
  <c r="M80" i="26"/>
  <c r="C80" i="26"/>
  <c r="M79" i="26"/>
  <c r="C79" i="26"/>
  <c r="M78" i="26"/>
  <c r="C78" i="26"/>
  <c r="M77" i="26"/>
  <c r="C77" i="26"/>
  <c r="M76" i="26"/>
  <c r="C76" i="26"/>
  <c r="M75" i="26"/>
  <c r="C75" i="26"/>
  <c r="M74" i="26"/>
  <c r="C74" i="26"/>
  <c r="M73" i="26"/>
  <c r="C73" i="26"/>
  <c r="M72" i="26"/>
  <c r="C72" i="26"/>
  <c r="M71" i="26"/>
  <c r="C71" i="26"/>
  <c r="M70" i="26"/>
  <c r="C70" i="26"/>
  <c r="M69" i="26"/>
  <c r="C69" i="26"/>
  <c r="M68" i="26"/>
  <c r="C68" i="26"/>
  <c r="M67" i="26"/>
  <c r="C67" i="26"/>
  <c r="M66" i="26"/>
  <c r="C66" i="26"/>
  <c r="M65" i="26"/>
  <c r="C65" i="26"/>
  <c r="M64" i="26"/>
  <c r="C64" i="26"/>
  <c r="M63" i="26"/>
  <c r="C63" i="26"/>
  <c r="M62" i="26"/>
  <c r="C62" i="26"/>
  <c r="M61" i="26"/>
  <c r="C61" i="26"/>
  <c r="M60" i="26"/>
  <c r="C60" i="26"/>
  <c r="M59" i="26"/>
  <c r="C59" i="26"/>
  <c r="M58" i="26"/>
  <c r="C58" i="26"/>
  <c r="M57" i="26"/>
  <c r="C57" i="26"/>
  <c r="M56" i="26"/>
  <c r="C56" i="26"/>
  <c r="M55" i="26"/>
  <c r="C55" i="26"/>
  <c r="M54" i="26"/>
  <c r="C54" i="26"/>
  <c r="M53" i="26"/>
  <c r="C53" i="26"/>
  <c r="M52" i="26"/>
  <c r="C52" i="26"/>
  <c r="M51" i="26"/>
  <c r="C51" i="26"/>
  <c r="M50" i="26"/>
  <c r="C50" i="26"/>
  <c r="M49" i="26"/>
  <c r="C49" i="26"/>
  <c r="M48" i="26"/>
  <c r="C48" i="26"/>
  <c r="M47" i="26"/>
  <c r="C47" i="26"/>
  <c r="M46" i="26"/>
  <c r="C46" i="26"/>
  <c r="M45" i="26"/>
  <c r="C45" i="26"/>
  <c r="M44" i="26"/>
  <c r="C44" i="26"/>
  <c r="M43" i="26"/>
  <c r="C43" i="26"/>
  <c r="M42" i="26"/>
  <c r="C42" i="26"/>
  <c r="M41" i="26"/>
  <c r="C41" i="26"/>
  <c r="M40" i="26"/>
  <c r="M39" i="26"/>
  <c r="M38" i="26"/>
  <c r="M37" i="26"/>
  <c r="C37" i="26"/>
  <c r="M36" i="26"/>
  <c r="C36" i="26"/>
  <c r="M35" i="26"/>
  <c r="C35" i="26"/>
  <c r="M34" i="26"/>
  <c r="C34" i="26"/>
  <c r="M33" i="26"/>
  <c r="C33" i="26"/>
  <c r="M32" i="26"/>
  <c r="C32" i="26"/>
  <c r="M31" i="26"/>
  <c r="C31" i="26"/>
  <c r="M30" i="26"/>
  <c r="C30" i="26"/>
  <c r="M29" i="26"/>
  <c r="C29" i="26"/>
  <c r="M28" i="26"/>
  <c r="C28" i="26"/>
  <c r="M27" i="26"/>
  <c r="C27" i="26"/>
  <c r="M26" i="26"/>
  <c r="C26" i="26"/>
  <c r="M25" i="26"/>
  <c r="C25" i="26"/>
  <c r="M24" i="26"/>
  <c r="C24" i="26"/>
  <c r="M23" i="26"/>
  <c r="M22" i="26"/>
  <c r="C22" i="26"/>
  <c r="M21" i="26"/>
  <c r="C21" i="26"/>
  <c r="M20" i="26"/>
  <c r="C20" i="26"/>
  <c r="M19" i="26"/>
  <c r="C19" i="26"/>
  <c r="M18" i="26"/>
  <c r="C18" i="26"/>
  <c r="M17" i="26"/>
  <c r="C17" i="26"/>
  <c r="M16" i="26"/>
  <c r="C16" i="26"/>
  <c r="M15" i="26"/>
  <c r="C15" i="26"/>
  <c r="M14" i="26"/>
  <c r="C14" i="26"/>
  <c r="M13" i="26"/>
  <c r="C13" i="26"/>
  <c r="M12" i="26"/>
  <c r="C12" i="26"/>
  <c r="M11" i="26"/>
  <c r="C11" i="26"/>
  <c r="M10" i="26"/>
  <c r="C10" i="26"/>
  <c r="M9" i="26"/>
  <c r="C9" i="26"/>
  <c r="M8" i="26"/>
  <c r="C8" i="26"/>
  <c r="K143" i="26" l="1"/>
  <c r="M143" i="26" s="1"/>
</calcChain>
</file>

<file path=xl/sharedStrings.xml><?xml version="1.0" encoding="utf-8"?>
<sst xmlns="http://schemas.openxmlformats.org/spreadsheetml/2006/main" count="354" uniqueCount="159">
  <si>
    <t>Tax on General Insurance Premium</t>
  </si>
  <si>
    <t>Tax on Stock brokerage commission</t>
  </si>
  <si>
    <t>Advertising Services</t>
  </si>
  <si>
    <t>Consulting Engineer Services</t>
  </si>
  <si>
    <t>Courier Services</t>
  </si>
  <si>
    <t>Management Consultant Services</t>
  </si>
  <si>
    <t>Security/ Detective Agency Services</t>
  </si>
  <si>
    <t>Chartered Accountant Services</t>
  </si>
  <si>
    <t>Man Power Recruitment Services</t>
  </si>
  <si>
    <t>Broadcasting Service</t>
  </si>
  <si>
    <t>Insurance Auxiliary Service</t>
  </si>
  <si>
    <t>Banking and other Financial Service</t>
  </si>
  <si>
    <t>Port Service</t>
  </si>
  <si>
    <t>Cargo handling (only inland cargo)</t>
  </si>
  <si>
    <t>Commercial training or coaching</t>
  </si>
  <si>
    <t>Maintenance or repair</t>
  </si>
  <si>
    <t>Commissioning and installation</t>
  </si>
  <si>
    <t>Business auxiliary Service</t>
  </si>
  <si>
    <t>Transport of goods by road</t>
  </si>
  <si>
    <t>Intellectual property Services other than copyright</t>
  </si>
  <si>
    <t>Construction services in respect of commercial Industrial Buildings or civil Structures</t>
  </si>
  <si>
    <t>Transport of passengers embarking international journey by air, other than economy class passengers</t>
  </si>
  <si>
    <t>Business support services</t>
  </si>
  <si>
    <t>Credit Card, Debit Card change card or other payment card related services</t>
  </si>
  <si>
    <t>Mining of mineral, oil or gas Services</t>
  </si>
  <si>
    <t>Execution of a works contract Services</t>
  </si>
  <si>
    <t>2006-07</t>
  </si>
  <si>
    <t>2007-08</t>
  </si>
  <si>
    <t>2008-09</t>
  </si>
  <si>
    <t>Service</t>
  </si>
  <si>
    <t>_</t>
  </si>
  <si>
    <t>Tax on telephone billing</t>
  </si>
  <si>
    <t>..</t>
  </si>
  <si>
    <t>Air Travel Agent Services</t>
  </si>
  <si>
    <t>Clearing and Forwarding Agent Services</t>
  </si>
  <si>
    <t>Custom House Agent Services</t>
  </si>
  <si>
    <t>Mandap Keeper Services</t>
  </si>
  <si>
    <t>Architect Services</t>
  </si>
  <si>
    <t>Steamer Agent Services</t>
  </si>
  <si>
    <t>Radio Paging Services</t>
  </si>
  <si>
    <t>Market Research Agency Services</t>
  </si>
  <si>
    <t>Real Estate Agent/ Consultant Services</t>
  </si>
  <si>
    <t>Rent A Cab Scheme Operator Services</t>
  </si>
  <si>
    <t>Tour Operator Services</t>
  </si>
  <si>
    <t>Credit Rating Agency Services</t>
  </si>
  <si>
    <t>Interior Decoration/ Designer Services</t>
  </si>
  <si>
    <t>Underwriter Services</t>
  </si>
  <si>
    <t>Cost Accountant Services</t>
  </si>
  <si>
    <t>Company Secretary Services</t>
  </si>
  <si>
    <t>Scientific &amp; Technical Consultancy Services</t>
  </si>
  <si>
    <t>Photographic Services</t>
  </si>
  <si>
    <t>Convention Services</t>
  </si>
  <si>
    <t>Leased Circuit Services</t>
  </si>
  <si>
    <t>Telegraphic Services</t>
  </si>
  <si>
    <t>Telex Services</t>
  </si>
  <si>
    <t>Facsimile Services</t>
  </si>
  <si>
    <t>Online Information &amp; Database access Service and/ or retrieval service</t>
  </si>
  <si>
    <t>Video Tape Production Services</t>
  </si>
  <si>
    <t>Sound Recording Services</t>
  </si>
  <si>
    <t>Service or repair produce by authorized service station for motor car &amp; two wheeled motor vehicle</t>
  </si>
  <si>
    <t>Insurance Auxiliary Service relating to life insurance</t>
  </si>
  <si>
    <t>Storage and warehousing services (except for agriculture produce and cold storage)</t>
  </si>
  <si>
    <t xml:space="preserve">Event Management </t>
  </si>
  <si>
    <t>Rail travel agents</t>
  </si>
  <si>
    <t>Health Club &amp; Fitness Centers</t>
  </si>
  <si>
    <t xml:space="preserve">Beauty  parlors  </t>
  </si>
  <si>
    <t>Fashion designers</t>
  </si>
  <si>
    <t>Cable operators</t>
  </si>
  <si>
    <t>Dry cleaning services</t>
  </si>
  <si>
    <t>Technical testing &amp; analysis; technical inspection and certification</t>
  </si>
  <si>
    <t>Internet café</t>
  </si>
  <si>
    <t>Franchise service</t>
  </si>
  <si>
    <t>Business exhibition services</t>
  </si>
  <si>
    <t>Airport Services</t>
  </si>
  <si>
    <t>Transport of goods by air</t>
  </si>
  <si>
    <t>Survey &amp; Exploration of Minerals</t>
  </si>
  <si>
    <t>opinion Poll Services</t>
  </si>
  <si>
    <t>Forward contract services</t>
  </si>
  <si>
    <t>TV or radio Programme services</t>
  </si>
  <si>
    <t>Travel Agents</t>
  </si>
  <si>
    <t>Pandal or Shamiana services</t>
  </si>
  <si>
    <t>Outdoor Catering</t>
  </si>
  <si>
    <t>Transport of goods through pipeline or other conduit</t>
  </si>
  <si>
    <t>site preparation and clearance, excavation, earth moving and demolition services, other than those provided to agriculture, irrigation and watershed development</t>
  </si>
  <si>
    <t>Dredging services of rivers, ports harbours, backwaters and estuaries</t>
  </si>
  <si>
    <t>Survey and map making other than by Government Departments</t>
  </si>
  <si>
    <t>cleaning services other than in relation to agriculture, horticulture, animal husbandry or dairying</t>
  </si>
  <si>
    <t>Membership of clubs or associations</t>
  </si>
  <si>
    <t>Packaging services</t>
  </si>
  <si>
    <t>Mailing list compilation and mailing</t>
  </si>
  <si>
    <t>Construction of residential complexes having more than twelve residential houses or apartments together with common areas and other appurtenances</t>
  </si>
  <si>
    <t>Service provided by a Registrar to an Issue</t>
  </si>
  <si>
    <t>Automated Teller Machine Operations, Maintenance or Mgt.</t>
  </si>
  <si>
    <t>Service provided by a Recovery Agent</t>
  </si>
  <si>
    <t>Sale of space or time for Advt., other than in Print Media</t>
  </si>
  <si>
    <t>Sponsorship services provided to any body corporate or film, other than sponsorship of sports events</t>
  </si>
  <si>
    <t>Transport of goods in containers by rail by any person, other than Government railway</t>
  </si>
  <si>
    <t>Auctioneers service, other than auction of properly under directions or orders of a court of law or auction by the Central government</t>
  </si>
  <si>
    <t>Public Relation Services</t>
  </si>
  <si>
    <t>Ship Management Services</t>
  </si>
  <si>
    <t>Internet Telephony Services</t>
  </si>
  <si>
    <t>Transport of persons by cruise ship</t>
  </si>
  <si>
    <t>Other Services since withdrawn (Arrear Payments)</t>
  </si>
  <si>
    <t>Telecommunication Services</t>
  </si>
  <si>
    <t>Development and supply of content for use in telecom services advertising agency services and on line information and database assess or retrieval services</t>
  </si>
  <si>
    <t>Asset management including portfolio management and all forms of fund management services</t>
  </si>
  <si>
    <t>Design services</t>
  </si>
  <si>
    <t xml:space="preserve">Cess on Education </t>
  </si>
  <si>
    <t>Receipt awaiting transfer to other heads</t>
  </si>
  <si>
    <t>Services introduced in 2008-09</t>
  </si>
  <si>
    <t>Service provided by a Share Transfer Agent</t>
  </si>
  <si>
    <t>Renting of immovable property for use in course or furtherance of business or commerce Services</t>
  </si>
  <si>
    <t>2010-11</t>
  </si>
  <si>
    <t>2011-12</t>
  </si>
  <si>
    <t xml:space="preserve">2009-10 </t>
  </si>
  <si>
    <t>*Services introduced in 2010-11</t>
  </si>
  <si>
    <t>#Services introduced in 2011-12</t>
  </si>
  <si>
    <t>^Services introduced in 2009-10</t>
  </si>
  <si>
    <t>`</t>
  </si>
  <si>
    <r>
      <t>(Revenue in</t>
    </r>
    <r>
      <rPr>
        <b/>
        <sz val="10"/>
        <rFont val="Rupee Foradian"/>
        <family val="2"/>
      </rPr>
      <t xml:space="preserve"> ₹ </t>
    </r>
    <r>
      <rPr>
        <b/>
        <sz val="10"/>
        <rFont val="Times New Roman"/>
        <family val="1"/>
      </rPr>
      <t>Crore)</t>
    </r>
  </si>
  <si>
    <t>2012-13</t>
  </si>
  <si>
    <t>2013-14</t>
  </si>
  <si>
    <t>Mechinized Slaughter House Services</t>
  </si>
  <si>
    <t>Services provided by any person in relation to IT Software</t>
  </si>
  <si>
    <t>Services provided by a recognised stock exchange in relation to transaction in  securities</t>
  </si>
  <si>
    <t>Services provided to goods or forward contracts</t>
  </si>
  <si>
    <t>Services provided by a insurer of life insurance on ULIPS</t>
  </si>
  <si>
    <t>Services provided by any person in relation to supply of tangible goods.</t>
  </si>
  <si>
    <t>Total Taxes (all services)</t>
  </si>
  <si>
    <t>…</t>
  </si>
  <si>
    <t>….</t>
  </si>
  <si>
    <t>2014-15</t>
  </si>
  <si>
    <t>2015-16</t>
  </si>
  <si>
    <t>INDIRECT TAXES</t>
  </si>
  <si>
    <t>Table 6.16: SERVICE-WISE REVENUE COLLECTION FROM SERVICE TAX SINCE 2006-07 TO 2016-17.</t>
  </si>
  <si>
    <t>2016-17</t>
  </si>
  <si>
    <t>% Growth</t>
  </si>
  <si>
    <t>Swachh Bharat Cess(w.e.f.15.11.2015</t>
  </si>
  <si>
    <t>Krishi Kalyan Cess (w.e.f. 1.6.2016)</t>
  </si>
  <si>
    <t>.</t>
  </si>
  <si>
    <t>Services provided  by a processing and clearinghoose in goods and forward contracts.</t>
  </si>
  <si>
    <t>Legal Consultancy Service</t>
  </si>
  <si>
    <t xml:space="preserve"> Cosmetic  Surgery or Plastic Surgery Service</t>
  </si>
  <si>
    <t>Services of promoting a brand of goods services events business entity etc.</t>
  </si>
  <si>
    <t xml:space="preserve"> Services of permitting commercial use or exploitation of any event orgnized by a person or organization.</t>
  </si>
  <si>
    <t xml:space="preserve"> Services provided by electricity exchange.</t>
  </si>
  <si>
    <t>Special services provided by a builder etc to the prospective buyers such as providing preferentioal</t>
  </si>
  <si>
    <t xml:space="preserve"> Health services like (a) health check up undertaken by hospitals or medical establishments for employee.</t>
  </si>
  <si>
    <t>Services provided maintenance of medical records of employees business entity.</t>
  </si>
  <si>
    <t>Services related to (a) Transfering Temporarily or (b) permitting the use or enjoyment of any copyright.</t>
  </si>
  <si>
    <t>Services of Promoting Marketing or Organising of Games of chance including lottery,Bingo or Lotto</t>
  </si>
  <si>
    <t>Services of air-conditioned restaurants having license to serve alcoholic beverages in relation to service of food or beverages.</t>
  </si>
  <si>
    <t xml:space="preserve"> Services of providing of accomodation in hotels/Inn/clubs/guesthouses/campsite for a continuous period of less than three months.</t>
  </si>
  <si>
    <t>Transport of Coastal goods &amp; goods rthrough national waterways or goods through inlandwater.</t>
  </si>
  <si>
    <t>All taxable services</t>
  </si>
  <si>
    <t xml:space="preserve"> Other taxable services</t>
  </si>
  <si>
    <t>Others Central Deptt.( Railway,D/o Posts,etc</t>
  </si>
  <si>
    <t>Total (Net Revenue)</t>
  </si>
  <si>
    <t>Source: Department of Revenue (PrCCA. Provisional 2015-16) Ministry of Finance.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</si>
</sst>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Rupee Foradian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" fillId="0" borderId="0"/>
  </cellStyleXfs>
  <cellXfs count="75">
    <xf numFmtId="0" fontId="0" fillId="0" borderId="0" xfId="0"/>
    <xf numFmtId="0" fontId="8" fillId="5" borderId="0" xfId="3" applyFont="1" applyFill="1" applyBorder="1" applyAlignment="1">
      <alignment vertical="center"/>
    </xf>
    <xf numFmtId="0" fontId="8" fillId="5" borderId="0" xfId="3" applyFont="1" applyFill="1" applyBorder="1" applyAlignment="1">
      <alignment vertical="top" wrapText="1"/>
    </xf>
    <xf numFmtId="0" fontId="5" fillId="5" borderId="2" xfId="3" applyFont="1" applyFill="1" applyBorder="1" applyAlignment="1">
      <alignment horizontal="center" vertical="center"/>
    </xf>
    <xf numFmtId="0" fontId="9" fillId="5" borderId="0" xfId="3" applyFont="1" applyFill="1" applyBorder="1" applyAlignment="1">
      <alignment vertical="top" wrapText="1"/>
    </xf>
    <xf numFmtId="1" fontId="4" fillId="5" borderId="2" xfId="3" applyNumberFormat="1" applyFont="1" applyFill="1" applyBorder="1" applyAlignment="1">
      <alignment horizontal="center" vertical="top"/>
    </xf>
    <xf numFmtId="164" fontId="4" fillId="0" borderId="2" xfId="3" applyNumberFormat="1" applyFont="1" applyFill="1" applyBorder="1" applyAlignment="1">
      <alignment horizontal="center" vertical="top"/>
    </xf>
    <xf numFmtId="0" fontId="11" fillId="5" borderId="0" xfId="3" applyFont="1" applyFill="1" applyBorder="1" applyAlignment="1">
      <alignment vertical="center"/>
    </xf>
    <xf numFmtId="0" fontId="8" fillId="5" borderId="0" xfId="3" applyFont="1" applyFill="1" applyBorder="1" applyAlignment="1">
      <alignment vertical="top"/>
    </xf>
    <xf numFmtId="164" fontId="4" fillId="5" borderId="2" xfId="3" applyNumberFormat="1" applyFont="1" applyFill="1" applyBorder="1" applyAlignment="1">
      <alignment horizontal="center" vertical="top"/>
    </xf>
    <xf numFmtId="0" fontId="4" fillId="5" borderId="2" xfId="3" applyFont="1" applyFill="1" applyBorder="1" applyAlignment="1">
      <alignment horizontal="center" vertical="top"/>
    </xf>
    <xf numFmtId="0" fontId="5" fillId="5" borderId="0" xfId="3" applyFont="1" applyFill="1" applyBorder="1" applyAlignment="1">
      <alignment vertical="center"/>
    </xf>
    <xf numFmtId="0" fontId="4" fillId="5" borderId="2" xfId="3" applyFont="1" applyFill="1" applyBorder="1" applyAlignment="1">
      <alignment horizontal="center" vertical="center"/>
    </xf>
    <xf numFmtId="1" fontId="4" fillId="5" borderId="2" xfId="3" applyNumberFormat="1" applyFont="1" applyFill="1" applyBorder="1" applyAlignment="1">
      <alignment horizontal="center" vertical="center"/>
    </xf>
    <xf numFmtId="1" fontId="5" fillId="5" borderId="2" xfId="3" applyNumberFormat="1" applyFont="1" applyFill="1" applyBorder="1" applyAlignment="1">
      <alignment horizontal="center" vertical="top"/>
    </xf>
    <xf numFmtId="1" fontId="5" fillId="5" borderId="2" xfId="3" applyNumberFormat="1" applyFont="1" applyFill="1" applyBorder="1" applyAlignment="1">
      <alignment horizontal="center" vertical="center"/>
    </xf>
    <xf numFmtId="0" fontId="5" fillId="5" borderId="0" xfId="3" applyFont="1" applyFill="1" applyBorder="1" applyAlignment="1">
      <alignment horizontal="right"/>
    </xf>
    <xf numFmtId="0" fontId="5" fillId="5" borderId="0" xfId="3" applyFont="1" applyFill="1" applyBorder="1" applyAlignment="1">
      <alignment horizontal="center"/>
    </xf>
    <xf numFmtId="1" fontId="8" fillId="5" borderId="0" xfId="3" applyNumberFormat="1" applyFont="1" applyFill="1" applyBorder="1" applyAlignment="1">
      <alignment vertical="center"/>
    </xf>
    <xf numFmtId="0" fontId="8" fillId="5" borderId="0" xfId="3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center" vertical="center"/>
    </xf>
    <xf numFmtId="0" fontId="5" fillId="4" borderId="2" xfId="3" applyFont="1" applyFill="1" applyBorder="1" applyAlignment="1">
      <alignment horizontal="center" vertical="center"/>
    </xf>
    <xf numFmtId="0" fontId="8" fillId="3" borderId="0" xfId="3" applyFont="1" applyFill="1" applyBorder="1" applyAlignment="1">
      <alignment vertical="center"/>
    </xf>
    <xf numFmtId="0" fontId="8" fillId="3" borderId="0" xfId="3" applyFont="1" applyFill="1" applyBorder="1" applyAlignment="1">
      <alignment horizontal="center" vertical="center"/>
    </xf>
    <xf numFmtId="0" fontId="5" fillId="3" borderId="0" xfId="3" applyFont="1" applyFill="1" applyBorder="1" applyAlignment="1">
      <alignment vertical="top" wrapText="1"/>
    </xf>
    <xf numFmtId="0" fontId="8" fillId="3" borderId="0" xfId="3" applyFont="1" applyFill="1" applyBorder="1" applyAlignment="1">
      <alignment vertical="top" wrapText="1"/>
    </xf>
    <xf numFmtId="0" fontId="8" fillId="3" borderId="0" xfId="3" applyFont="1" applyFill="1" applyBorder="1" applyAlignment="1">
      <alignment horizontal="center" vertical="top" wrapText="1"/>
    </xf>
    <xf numFmtId="0" fontId="8" fillId="3" borderId="3" xfId="3" applyFont="1" applyFill="1" applyBorder="1" applyAlignment="1">
      <alignment vertical="top" wrapText="1"/>
    </xf>
    <xf numFmtId="0" fontId="5" fillId="3" borderId="3" xfId="3" applyFont="1" applyFill="1" applyBorder="1" applyAlignment="1">
      <alignment horizontal="right" vertical="top"/>
    </xf>
    <xf numFmtId="0" fontId="5" fillId="3" borderId="2" xfId="3" applyFont="1" applyFill="1" applyBorder="1" applyAlignment="1">
      <alignment horizontal="center" vertical="center"/>
    </xf>
    <xf numFmtId="0" fontId="5" fillId="3" borderId="2" xfId="3" applyFont="1" applyFill="1" applyBorder="1" applyAlignment="1">
      <alignment horizontal="center" vertical="center" wrapText="1"/>
    </xf>
    <xf numFmtId="1" fontId="5" fillId="3" borderId="2" xfId="15" applyNumberFormat="1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vertical="center" wrapText="1"/>
    </xf>
    <xf numFmtId="0" fontId="5" fillId="3" borderId="2" xfId="3" applyFont="1" applyFill="1" applyBorder="1" applyAlignment="1">
      <alignment vertical="center"/>
    </xf>
    <xf numFmtId="0" fontId="4" fillId="3" borderId="2" xfId="3" applyFont="1" applyFill="1" applyBorder="1" applyAlignment="1">
      <alignment vertical="top" wrapText="1"/>
    </xf>
    <xf numFmtId="0" fontId="5" fillId="3" borderId="2" xfId="3" applyFont="1" applyFill="1" applyBorder="1" applyAlignment="1">
      <alignment vertical="top" wrapText="1"/>
    </xf>
    <xf numFmtId="0" fontId="4" fillId="3" borderId="2" xfId="3" applyFont="1" applyFill="1" applyBorder="1" applyAlignment="1">
      <alignment vertical="center"/>
    </xf>
    <xf numFmtId="0" fontId="8" fillId="3" borderId="2" xfId="3" applyFont="1" applyFill="1" applyBorder="1" applyAlignment="1">
      <alignment vertical="center"/>
    </xf>
    <xf numFmtId="0" fontId="8" fillId="3" borderId="2" xfId="3" applyFont="1" applyFill="1" applyBorder="1" applyAlignment="1">
      <alignment vertical="center" wrapText="1"/>
    </xf>
    <xf numFmtId="0" fontId="8" fillId="3" borderId="2" xfId="3" applyFont="1" applyFill="1" applyBorder="1" applyAlignment="1">
      <alignment vertical="top" wrapText="1"/>
    </xf>
    <xf numFmtId="0" fontId="5" fillId="3" borderId="1" xfId="3" applyFont="1" applyFill="1" applyBorder="1" applyAlignment="1">
      <alignment vertical="top" wrapText="1"/>
    </xf>
    <xf numFmtId="0" fontId="4" fillId="4" borderId="2" xfId="3" applyFont="1" applyFill="1" applyBorder="1" applyAlignment="1">
      <alignment vertical="top"/>
    </xf>
    <xf numFmtId="1" fontId="4" fillId="4" borderId="2" xfId="3" applyNumberFormat="1" applyFont="1" applyFill="1" applyBorder="1" applyAlignment="1">
      <alignment vertical="top"/>
    </xf>
    <xf numFmtId="1" fontId="4" fillId="4" borderId="2" xfId="3" applyNumberFormat="1" applyFont="1" applyFill="1" applyBorder="1" applyAlignment="1">
      <alignment horizontal="center" vertical="top"/>
    </xf>
    <xf numFmtId="164" fontId="4" fillId="4" borderId="2" xfId="3" applyNumberFormat="1" applyFont="1" applyFill="1" applyBorder="1" applyAlignment="1">
      <alignment horizontal="center" vertical="top"/>
    </xf>
    <xf numFmtId="0" fontId="4" fillId="2" borderId="2" xfId="3" applyFont="1" applyFill="1" applyBorder="1" applyAlignment="1">
      <alignment vertical="top"/>
    </xf>
    <xf numFmtId="1" fontId="4" fillId="2" borderId="2" xfId="3" applyNumberFormat="1" applyFont="1" applyFill="1" applyBorder="1" applyAlignment="1">
      <alignment vertical="top"/>
    </xf>
    <xf numFmtId="1" fontId="4" fillId="2" borderId="2" xfId="3" applyNumberFormat="1" applyFont="1" applyFill="1" applyBorder="1" applyAlignment="1">
      <alignment horizontal="right" vertical="top"/>
    </xf>
    <xf numFmtId="164" fontId="4" fillId="2" borderId="2" xfId="3" applyNumberFormat="1" applyFont="1" applyFill="1" applyBorder="1" applyAlignment="1">
      <alignment horizontal="center" vertical="top"/>
    </xf>
    <xf numFmtId="1" fontId="4" fillId="2" borderId="2" xfId="3" applyNumberFormat="1" applyFont="1" applyFill="1" applyBorder="1" applyAlignment="1">
      <alignment horizontal="center" vertical="top"/>
    </xf>
    <xf numFmtId="1" fontId="4" fillId="4" borderId="2" xfId="3" applyNumberFormat="1" applyFont="1" applyFill="1" applyBorder="1" applyAlignment="1">
      <alignment horizontal="right" vertical="top"/>
    </xf>
    <xf numFmtId="0" fontId="4" fillId="4" borderId="2" xfId="3" applyFont="1" applyFill="1" applyBorder="1" applyAlignment="1">
      <alignment horizontal="center" vertical="top"/>
    </xf>
    <xf numFmtId="0" fontId="4" fillId="4" borderId="2" xfId="3" applyFont="1" applyFill="1" applyBorder="1" applyAlignment="1">
      <alignment horizontal="center" vertical="center"/>
    </xf>
    <xf numFmtId="1" fontId="4" fillId="4" borderId="2" xfId="3" applyNumberFormat="1" applyFont="1" applyFill="1" applyBorder="1" applyAlignment="1">
      <alignment horizontal="center" vertical="center"/>
    </xf>
    <xf numFmtId="164" fontId="4" fillId="4" borderId="2" xfId="3" applyNumberFormat="1" applyFont="1" applyFill="1" applyBorder="1" applyAlignment="1">
      <alignment horizontal="center" vertical="center"/>
    </xf>
    <xf numFmtId="1" fontId="5" fillId="2" borderId="2" xfId="3" applyNumberFormat="1" applyFont="1" applyFill="1" applyBorder="1" applyAlignment="1">
      <alignment horizontal="center" vertical="top"/>
    </xf>
    <xf numFmtId="164" fontId="5" fillId="2" borderId="2" xfId="3" applyNumberFormat="1" applyFont="1" applyFill="1" applyBorder="1" applyAlignment="1">
      <alignment horizontal="center" vertical="top"/>
    </xf>
    <xf numFmtId="164" fontId="5" fillId="2" borderId="2" xfId="3" applyNumberFormat="1" applyFont="1" applyFill="1" applyBorder="1" applyAlignment="1">
      <alignment horizontal="center" vertical="center"/>
    </xf>
    <xf numFmtId="1" fontId="5" fillId="2" borderId="2" xfId="3" applyNumberFormat="1" applyFont="1" applyFill="1" applyBorder="1" applyAlignment="1">
      <alignment horizontal="center" vertical="center"/>
    </xf>
    <xf numFmtId="1" fontId="5" fillId="4" borderId="2" xfId="3" applyNumberFormat="1" applyFont="1" applyFill="1" applyBorder="1" applyAlignment="1">
      <alignment horizontal="center" vertical="top"/>
    </xf>
    <xf numFmtId="164" fontId="5" fillId="4" borderId="2" xfId="3" applyNumberFormat="1" applyFont="1" applyFill="1" applyBorder="1" applyAlignment="1">
      <alignment horizontal="center" vertical="top"/>
    </xf>
    <xf numFmtId="164" fontId="5" fillId="4" borderId="2" xfId="3" applyNumberFormat="1" applyFont="1" applyFill="1" applyBorder="1" applyAlignment="1">
      <alignment horizontal="center" vertical="center"/>
    </xf>
    <xf numFmtId="1" fontId="5" fillId="4" borderId="2" xfId="3" applyNumberFormat="1" applyFont="1" applyFill="1" applyBorder="1" applyAlignment="1">
      <alignment horizontal="center" vertical="center"/>
    </xf>
    <xf numFmtId="1" fontId="12" fillId="2" borderId="2" xfId="3" applyNumberFormat="1" applyFont="1" applyFill="1" applyBorder="1" applyAlignment="1">
      <alignment horizontal="right" vertical="top"/>
    </xf>
    <xf numFmtId="164" fontId="12" fillId="2" borderId="2" xfId="3" applyNumberFormat="1" applyFont="1" applyFill="1" applyBorder="1" applyAlignment="1">
      <alignment horizontal="center" vertical="top"/>
    </xf>
    <xf numFmtId="1" fontId="12" fillId="2" borderId="2" xfId="3" applyNumberFormat="1" applyFont="1" applyFill="1" applyBorder="1" applyAlignment="1">
      <alignment horizontal="center" vertical="top"/>
    </xf>
    <xf numFmtId="0" fontId="4" fillId="2" borderId="2" xfId="3" applyFont="1" applyFill="1" applyBorder="1" applyAlignment="1">
      <alignment horizontal="center" vertical="top"/>
    </xf>
    <xf numFmtId="0" fontId="4" fillId="2" borderId="2" xfId="3" applyFont="1" applyFill="1" applyBorder="1" applyAlignment="1">
      <alignment horizontal="center" vertical="center"/>
    </xf>
    <xf numFmtId="1" fontId="4" fillId="2" borderId="2" xfId="3" applyNumberFormat="1" applyFont="1" applyFill="1" applyBorder="1" applyAlignment="1">
      <alignment horizontal="center" vertical="center"/>
    </xf>
    <xf numFmtId="164" fontId="4" fillId="2" borderId="2" xfId="3" applyNumberFormat="1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top" wrapText="1"/>
    </xf>
    <xf numFmtId="0" fontId="7" fillId="3" borderId="0" xfId="0" applyFont="1" applyFill="1" applyAlignment="1">
      <alignment horizontal="center"/>
    </xf>
    <xf numFmtId="0" fontId="10" fillId="3" borderId="0" xfId="3" applyFont="1" applyFill="1" applyAlignment="1">
      <alignment horizontal="center" vertical="distributed" wrapText="1"/>
    </xf>
    <xf numFmtId="0" fontId="5" fillId="5" borderId="1" xfId="3" applyFont="1" applyFill="1" applyBorder="1" applyAlignment="1">
      <alignment horizontal="left"/>
    </xf>
    <xf numFmtId="0" fontId="4" fillId="5" borderId="0" xfId="3" applyFont="1" applyFill="1" applyBorder="1" applyAlignment="1">
      <alignment horizontal="center"/>
    </xf>
  </cellXfs>
  <cellStyles count="16">
    <cellStyle name="Normal" xfId="0" builtinId="0"/>
    <cellStyle name="Normal 2" xfId="1"/>
    <cellStyle name="Normal 2 10" xfId="2"/>
    <cellStyle name="Normal 2 2" xfId="3"/>
    <cellStyle name="Normal 2 3" xfId="4"/>
    <cellStyle name="Normal 2 4" xfId="5"/>
    <cellStyle name="Normal 2 5" xfId="6"/>
    <cellStyle name="Normal 2 6" xfId="7"/>
    <cellStyle name="Normal 2 7" xfId="8"/>
    <cellStyle name="Normal 2 8" xfId="9"/>
    <cellStyle name="Normal 2 9" xfId="10"/>
    <cellStyle name="Normal 3" xfId="11"/>
    <cellStyle name="Normal 3 2" xfId="12"/>
    <cellStyle name="Normal 4" xfId="13"/>
    <cellStyle name="Normal 5" xfId="14"/>
    <cellStyle name="Normal 6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3"/>
  <sheetViews>
    <sheetView tabSelected="1" view="pageBreakPreview" topLeftCell="K4" zoomScale="120" zoomScaleSheetLayoutView="120" workbookViewId="0">
      <selection activeCell="A153" sqref="A153"/>
    </sheetView>
  </sheetViews>
  <sheetFormatPr defaultRowHeight="15"/>
  <cols>
    <col min="1" max="1" width="44.7109375" style="1" customWidth="1"/>
    <col min="2" max="4" width="7.7109375" style="1" customWidth="1"/>
    <col min="5" max="5" width="7.7109375" style="19" customWidth="1"/>
    <col min="6" max="9" width="7.7109375" style="1" customWidth="1"/>
    <col min="10" max="10" width="7.85546875" style="1" customWidth="1"/>
    <col min="11" max="12" width="7.7109375" style="1" customWidth="1"/>
    <col min="13" max="13" width="9" style="1" customWidth="1"/>
    <col min="14" max="259" width="9.140625" style="1"/>
    <col min="260" max="260" width="35.5703125" style="1" customWidth="1"/>
    <col min="261" max="261" width="7.42578125" style="1" customWidth="1"/>
    <col min="262" max="262" width="10.28515625" style="1" customWidth="1"/>
    <col min="263" max="263" width="9.85546875" style="1" customWidth="1"/>
    <col min="264" max="264" width="12.5703125" style="1" customWidth="1"/>
    <col min="265" max="265" width="8.7109375" style="1" customWidth="1"/>
    <col min="266" max="268" width="9.140625" style="1"/>
    <col min="269" max="269" width="10.7109375" style="1" customWidth="1"/>
    <col min="270" max="515" width="9.140625" style="1"/>
    <col min="516" max="516" width="35.5703125" style="1" customWidth="1"/>
    <col min="517" max="517" width="7.42578125" style="1" customWidth="1"/>
    <col min="518" max="518" width="10.28515625" style="1" customWidth="1"/>
    <col min="519" max="519" width="9.85546875" style="1" customWidth="1"/>
    <col min="520" max="520" width="12.5703125" style="1" customWidth="1"/>
    <col min="521" max="521" width="8.7109375" style="1" customWidth="1"/>
    <col min="522" max="524" width="9.140625" style="1"/>
    <col min="525" max="525" width="10.7109375" style="1" customWidth="1"/>
    <col min="526" max="771" width="9.140625" style="1"/>
    <col min="772" max="772" width="35.5703125" style="1" customWidth="1"/>
    <col min="773" max="773" width="7.42578125" style="1" customWidth="1"/>
    <col min="774" max="774" width="10.28515625" style="1" customWidth="1"/>
    <col min="775" max="775" width="9.85546875" style="1" customWidth="1"/>
    <col min="776" max="776" width="12.5703125" style="1" customWidth="1"/>
    <col min="777" max="777" width="8.7109375" style="1" customWidth="1"/>
    <col min="778" max="780" width="9.140625" style="1"/>
    <col min="781" max="781" width="10.7109375" style="1" customWidth="1"/>
    <col min="782" max="1027" width="9.140625" style="1"/>
    <col min="1028" max="1028" width="35.5703125" style="1" customWidth="1"/>
    <col min="1029" max="1029" width="7.42578125" style="1" customWidth="1"/>
    <col min="1030" max="1030" width="10.28515625" style="1" customWidth="1"/>
    <col min="1031" max="1031" width="9.85546875" style="1" customWidth="1"/>
    <col min="1032" max="1032" width="12.5703125" style="1" customWidth="1"/>
    <col min="1033" max="1033" width="8.7109375" style="1" customWidth="1"/>
    <col min="1034" max="1036" width="9.140625" style="1"/>
    <col min="1037" max="1037" width="10.7109375" style="1" customWidth="1"/>
    <col min="1038" max="1283" width="9.140625" style="1"/>
    <col min="1284" max="1284" width="35.5703125" style="1" customWidth="1"/>
    <col min="1285" max="1285" width="7.42578125" style="1" customWidth="1"/>
    <col min="1286" max="1286" width="10.28515625" style="1" customWidth="1"/>
    <col min="1287" max="1287" width="9.85546875" style="1" customWidth="1"/>
    <col min="1288" max="1288" width="12.5703125" style="1" customWidth="1"/>
    <col min="1289" max="1289" width="8.7109375" style="1" customWidth="1"/>
    <col min="1290" max="1292" width="9.140625" style="1"/>
    <col min="1293" max="1293" width="10.7109375" style="1" customWidth="1"/>
    <col min="1294" max="1539" width="9.140625" style="1"/>
    <col min="1540" max="1540" width="35.5703125" style="1" customWidth="1"/>
    <col min="1541" max="1541" width="7.42578125" style="1" customWidth="1"/>
    <col min="1542" max="1542" width="10.28515625" style="1" customWidth="1"/>
    <col min="1543" max="1543" width="9.85546875" style="1" customWidth="1"/>
    <col min="1544" max="1544" width="12.5703125" style="1" customWidth="1"/>
    <col min="1545" max="1545" width="8.7109375" style="1" customWidth="1"/>
    <col min="1546" max="1548" width="9.140625" style="1"/>
    <col min="1549" max="1549" width="10.7109375" style="1" customWidth="1"/>
    <col min="1550" max="1795" width="9.140625" style="1"/>
    <col min="1796" max="1796" width="35.5703125" style="1" customWidth="1"/>
    <col min="1797" max="1797" width="7.42578125" style="1" customWidth="1"/>
    <col min="1798" max="1798" width="10.28515625" style="1" customWidth="1"/>
    <col min="1799" max="1799" width="9.85546875" style="1" customWidth="1"/>
    <col min="1800" max="1800" width="12.5703125" style="1" customWidth="1"/>
    <col min="1801" max="1801" width="8.7109375" style="1" customWidth="1"/>
    <col min="1802" max="1804" width="9.140625" style="1"/>
    <col min="1805" max="1805" width="10.7109375" style="1" customWidth="1"/>
    <col min="1806" max="2051" width="9.140625" style="1"/>
    <col min="2052" max="2052" width="35.5703125" style="1" customWidth="1"/>
    <col min="2053" max="2053" width="7.42578125" style="1" customWidth="1"/>
    <col min="2054" max="2054" width="10.28515625" style="1" customWidth="1"/>
    <col min="2055" max="2055" width="9.85546875" style="1" customWidth="1"/>
    <col min="2056" max="2056" width="12.5703125" style="1" customWidth="1"/>
    <col min="2057" max="2057" width="8.7109375" style="1" customWidth="1"/>
    <col min="2058" max="2060" width="9.140625" style="1"/>
    <col min="2061" max="2061" width="10.7109375" style="1" customWidth="1"/>
    <col min="2062" max="2307" width="9.140625" style="1"/>
    <col min="2308" max="2308" width="35.5703125" style="1" customWidth="1"/>
    <col min="2309" max="2309" width="7.42578125" style="1" customWidth="1"/>
    <col min="2310" max="2310" width="10.28515625" style="1" customWidth="1"/>
    <col min="2311" max="2311" width="9.85546875" style="1" customWidth="1"/>
    <col min="2312" max="2312" width="12.5703125" style="1" customWidth="1"/>
    <col min="2313" max="2313" width="8.7109375" style="1" customWidth="1"/>
    <col min="2314" max="2316" width="9.140625" style="1"/>
    <col min="2317" max="2317" width="10.7109375" style="1" customWidth="1"/>
    <col min="2318" max="2563" width="9.140625" style="1"/>
    <col min="2564" max="2564" width="35.5703125" style="1" customWidth="1"/>
    <col min="2565" max="2565" width="7.42578125" style="1" customWidth="1"/>
    <col min="2566" max="2566" width="10.28515625" style="1" customWidth="1"/>
    <col min="2567" max="2567" width="9.85546875" style="1" customWidth="1"/>
    <col min="2568" max="2568" width="12.5703125" style="1" customWidth="1"/>
    <col min="2569" max="2569" width="8.7109375" style="1" customWidth="1"/>
    <col min="2570" max="2572" width="9.140625" style="1"/>
    <col min="2573" max="2573" width="10.7109375" style="1" customWidth="1"/>
    <col min="2574" max="2819" width="9.140625" style="1"/>
    <col min="2820" max="2820" width="35.5703125" style="1" customWidth="1"/>
    <col min="2821" max="2821" width="7.42578125" style="1" customWidth="1"/>
    <col min="2822" max="2822" width="10.28515625" style="1" customWidth="1"/>
    <col min="2823" max="2823" width="9.85546875" style="1" customWidth="1"/>
    <col min="2824" max="2824" width="12.5703125" style="1" customWidth="1"/>
    <col min="2825" max="2825" width="8.7109375" style="1" customWidth="1"/>
    <col min="2826" max="2828" width="9.140625" style="1"/>
    <col min="2829" max="2829" width="10.7109375" style="1" customWidth="1"/>
    <col min="2830" max="3075" width="9.140625" style="1"/>
    <col min="3076" max="3076" width="35.5703125" style="1" customWidth="1"/>
    <col min="3077" max="3077" width="7.42578125" style="1" customWidth="1"/>
    <col min="3078" max="3078" width="10.28515625" style="1" customWidth="1"/>
    <col min="3079" max="3079" width="9.85546875" style="1" customWidth="1"/>
    <col min="3080" max="3080" width="12.5703125" style="1" customWidth="1"/>
    <col min="3081" max="3081" width="8.7109375" style="1" customWidth="1"/>
    <col min="3082" max="3084" width="9.140625" style="1"/>
    <col min="3085" max="3085" width="10.7109375" style="1" customWidth="1"/>
    <col min="3086" max="3331" width="9.140625" style="1"/>
    <col min="3332" max="3332" width="35.5703125" style="1" customWidth="1"/>
    <col min="3333" max="3333" width="7.42578125" style="1" customWidth="1"/>
    <col min="3334" max="3334" width="10.28515625" style="1" customWidth="1"/>
    <col min="3335" max="3335" width="9.85546875" style="1" customWidth="1"/>
    <col min="3336" max="3336" width="12.5703125" style="1" customWidth="1"/>
    <col min="3337" max="3337" width="8.7109375" style="1" customWidth="1"/>
    <col min="3338" max="3340" width="9.140625" style="1"/>
    <col min="3341" max="3341" width="10.7109375" style="1" customWidth="1"/>
    <col min="3342" max="3587" width="9.140625" style="1"/>
    <col min="3588" max="3588" width="35.5703125" style="1" customWidth="1"/>
    <col min="3589" max="3589" width="7.42578125" style="1" customWidth="1"/>
    <col min="3590" max="3590" width="10.28515625" style="1" customWidth="1"/>
    <col min="3591" max="3591" width="9.85546875" style="1" customWidth="1"/>
    <col min="3592" max="3592" width="12.5703125" style="1" customWidth="1"/>
    <col min="3593" max="3593" width="8.7109375" style="1" customWidth="1"/>
    <col min="3594" max="3596" width="9.140625" style="1"/>
    <col min="3597" max="3597" width="10.7109375" style="1" customWidth="1"/>
    <col min="3598" max="3843" width="9.140625" style="1"/>
    <col min="3844" max="3844" width="35.5703125" style="1" customWidth="1"/>
    <col min="3845" max="3845" width="7.42578125" style="1" customWidth="1"/>
    <col min="3846" max="3846" width="10.28515625" style="1" customWidth="1"/>
    <col min="3847" max="3847" width="9.85546875" style="1" customWidth="1"/>
    <col min="3848" max="3848" width="12.5703125" style="1" customWidth="1"/>
    <col min="3849" max="3849" width="8.7109375" style="1" customWidth="1"/>
    <col min="3850" max="3852" width="9.140625" style="1"/>
    <col min="3853" max="3853" width="10.7109375" style="1" customWidth="1"/>
    <col min="3854" max="4099" width="9.140625" style="1"/>
    <col min="4100" max="4100" width="35.5703125" style="1" customWidth="1"/>
    <col min="4101" max="4101" width="7.42578125" style="1" customWidth="1"/>
    <col min="4102" max="4102" width="10.28515625" style="1" customWidth="1"/>
    <col min="4103" max="4103" width="9.85546875" style="1" customWidth="1"/>
    <col min="4104" max="4104" width="12.5703125" style="1" customWidth="1"/>
    <col min="4105" max="4105" width="8.7109375" style="1" customWidth="1"/>
    <col min="4106" max="4108" width="9.140625" style="1"/>
    <col min="4109" max="4109" width="10.7109375" style="1" customWidth="1"/>
    <col min="4110" max="4355" width="9.140625" style="1"/>
    <col min="4356" max="4356" width="35.5703125" style="1" customWidth="1"/>
    <col min="4357" max="4357" width="7.42578125" style="1" customWidth="1"/>
    <col min="4358" max="4358" width="10.28515625" style="1" customWidth="1"/>
    <col min="4359" max="4359" width="9.85546875" style="1" customWidth="1"/>
    <col min="4360" max="4360" width="12.5703125" style="1" customWidth="1"/>
    <col min="4361" max="4361" width="8.7109375" style="1" customWidth="1"/>
    <col min="4362" max="4364" width="9.140625" style="1"/>
    <col min="4365" max="4365" width="10.7109375" style="1" customWidth="1"/>
    <col min="4366" max="4611" width="9.140625" style="1"/>
    <col min="4612" max="4612" width="35.5703125" style="1" customWidth="1"/>
    <col min="4613" max="4613" width="7.42578125" style="1" customWidth="1"/>
    <col min="4614" max="4614" width="10.28515625" style="1" customWidth="1"/>
    <col min="4615" max="4615" width="9.85546875" style="1" customWidth="1"/>
    <col min="4616" max="4616" width="12.5703125" style="1" customWidth="1"/>
    <col min="4617" max="4617" width="8.7109375" style="1" customWidth="1"/>
    <col min="4618" max="4620" width="9.140625" style="1"/>
    <col min="4621" max="4621" width="10.7109375" style="1" customWidth="1"/>
    <col min="4622" max="4867" width="9.140625" style="1"/>
    <col min="4868" max="4868" width="35.5703125" style="1" customWidth="1"/>
    <col min="4869" max="4869" width="7.42578125" style="1" customWidth="1"/>
    <col min="4870" max="4870" width="10.28515625" style="1" customWidth="1"/>
    <col min="4871" max="4871" width="9.85546875" style="1" customWidth="1"/>
    <col min="4872" max="4872" width="12.5703125" style="1" customWidth="1"/>
    <col min="4873" max="4873" width="8.7109375" style="1" customWidth="1"/>
    <col min="4874" max="4876" width="9.140625" style="1"/>
    <col min="4877" max="4877" width="10.7109375" style="1" customWidth="1"/>
    <col min="4878" max="5123" width="9.140625" style="1"/>
    <col min="5124" max="5124" width="35.5703125" style="1" customWidth="1"/>
    <col min="5125" max="5125" width="7.42578125" style="1" customWidth="1"/>
    <col min="5126" max="5126" width="10.28515625" style="1" customWidth="1"/>
    <col min="5127" max="5127" width="9.85546875" style="1" customWidth="1"/>
    <col min="5128" max="5128" width="12.5703125" style="1" customWidth="1"/>
    <col min="5129" max="5129" width="8.7109375" style="1" customWidth="1"/>
    <col min="5130" max="5132" width="9.140625" style="1"/>
    <col min="5133" max="5133" width="10.7109375" style="1" customWidth="1"/>
    <col min="5134" max="5379" width="9.140625" style="1"/>
    <col min="5380" max="5380" width="35.5703125" style="1" customWidth="1"/>
    <col min="5381" max="5381" width="7.42578125" style="1" customWidth="1"/>
    <col min="5382" max="5382" width="10.28515625" style="1" customWidth="1"/>
    <col min="5383" max="5383" width="9.85546875" style="1" customWidth="1"/>
    <col min="5384" max="5384" width="12.5703125" style="1" customWidth="1"/>
    <col min="5385" max="5385" width="8.7109375" style="1" customWidth="1"/>
    <col min="5386" max="5388" width="9.140625" style="1"/>
    <col min="5389" max="5389" width="10.7109375" style="1" customWidth="1"/>
    <col min="5390" max="5635" width="9.140625" style="1"/>
    <col min="5636" max="5636" width="35.5703125" style="1" customWidth="1"/>
    <col min="5637" max="5637" width="7.42578125" style="1" customWidth="1"/>
    <col min="5638" max="5638" width="10.28515625" style="1" customWidth="1"/>
    <col min="5639" max="5639" width="9.85546875" style="1" customWidth="1"/>
    <col min="5640" max="5640" width="12.5703125" style="1" customWidth="1"/>
    <col min="5641" max="5641" width="8.7109375" style="1" customWidth="1"/>
    <col min="5642" max="5644" width="9.140625" style="1"/>
    <col min="5645" max="5645" width="10.7109375" style="1" customWidth="1"/>
    <col min="5646" max="5891" width="9.140625" style="1"/>
    <col min="5892" max="5892" width="35.5703125" style="1" customWidth="1"/>
    <col min="5893" max="5893" width="7.42578125" style="1" customWidth="1"/>
    <col min="5894" max="5894" width="10.28515625" style="1" customWidth="1"/>
    <col min="5895" max="5895" width="9.85546875" style="1" customWidth="1"/>
    <col min="5896" max="5896" width="12.5703125" style="1" customWidth="1"/>
    <col min="5897" max="5897" width="8.7109375" style="1" customWidth="1"/>
    <col min="5898" max="5900" width="9.140625" style="1"/>
    <col min="5901" max="5901" width="10.7109375" style="1" customWidth="1"/>
    <col min="5902" max="6147" width="9.140625" style="1"/>
    <col min="6148" max="6148" width="35.5703125" style="1" customWidth="1"/>
    <col min="6149" max="6149" width="7.42578125" style="1" customWidth="1"/>
    <col min="6150" max="6150" width="10.28515625" style="1" customWidth="1"/>
    <col min="6151" max="6151" width="9.85546875" style="1" customWidth="1"/>
    <col min="6152" max="6152" width="12.5703125" style="1" customWidth="1"/>
    <col min="6153" max="6153" width="8.7109375" style="1" customWidth="1"/>
    <col min="6154" max="6156" width="9.140625" style="1"/>
    <col min="6157" max="6157" width="10.7109375" style="1" customWidth="1"/>
    <col min="6158" max="6403" width="9.140625" style="1"/>
    <col min="6404" max="6404" width="35.5703125" style="1" customWidth="1"/>
    <col min="6405" max="6405" width="7.42578125" style="1" customWidth="1"/>
    <col min="6406" max="6406" width="10.28515625" style="1" customWidth="1"/>
    <col min="6407" max="6407" width="9.85546875" style="1" customWidth="1"/>
    <col min="6408" max="6408" width="12.5703125" style="1" customWidth="1"/>
    <col min="6409" max="6409" width="8.7109375" style="1" customWidth="1"/>
    <col min="6410" max="6412" width="9.140625" style="1"/>
    <col min="6413" max="6413" width="10.7109375" style="1" customWidth="1"/>
    <col min="6414" max="6659" width="9.140625" style="1"/>
    <col min="6660" max="6660" width="35.5703125" style="1" customWidth="1"/>
    <col min="6661" max="6661" width="7.42578125" style="1" customWidth="1"/>
    <col min="6662" max="6662" width="10.28515625" style="1" customWidth="1"/>
    <col min="6663" max="6663" width="9.85546875" style="1" customWidth="1"/>
    <col min="6664" max="6664" width="12.5703125" style="1" customWidth="1"/>
    <col min="6665" max="6665" width="8.7109375" style="1" customWidth="1"/>
    <col min="6666" max="6668" width="9.140625" style="1"/>
    <col min="6669" max="6669" width="10.7109375" style="1" customWidth="1"/>
    <col min="6670" max="6915" width="9.140625" style="1"/>
    <col min="6916" max="6916" width="35.5703125" style="1" customWidth="1"/>
    <col min="6917" max="6917" width="7.42578125" style="1" customWidth="1"/>
    <col min="6918" max="6918" width="10.28515625" style="1" customWidth="1"/>
    <col min="6919" max="6919" width="9.85546875" style="1" customWidth="1"/>
    <col min="6920" max="6920" width="12.5703125" style="1" customWidth="1"/>
    <col min="6921" max="6921" width="8.7109375" style="1" customWidth="1"/>
    <col min="6922" max="6924" width="9.140625" style="1"/>
    <col min="6925" max="6925" width="10.7109375" style="1" customWidth="1"/>
    <col min="6926" max="7171" width="9.140625" style="1"/>
    <col min="7172" max="7172" width="35.5703125" style="1" customWidth="1"/>
    <col min="7173" max="7173" width="7.42578125" style="1" customWidth="1"/>
    <col min="7174" max="7174" width="10.28515625" style="1" customWidth="1"/>
    <col min="7175" max="7175" width="9.85546875" style="1" customWidth="1"/>
    <col min="7176" max="7176" width="12.5703125" style="1" customWidth="1"/>
    <col min="7177" max="7177" width="8.7109375" style="1" customWidth="1"/>
    <col min="7178" max="7180" width="9.140625" style="1"/>
    <col min="7181" max="7181" width="10.7109375" style="1" customWidth="1"/>
    <col min="7182" max="7427" width="9.140625" style="1"/>
    <col min="7428" max="7428" width="35.5703125" style="1" customWidth="1"/>
    <col min="7429" max="7429" width="7.42578125" style="1" customWidth="1"/>
    <col min="7430" max="7430" width="10.28515625" style="1" customWidth="1"/>
    <col min="7431" max="7431" width="9.85546875" style="1" customWidth="1"/>
    <col min="7432" max="7432" width="12.5703125" style="1" customWidth="1"/>
    <col min="7433" max="7433" width="8.7109375" style="1" customWidth="1"/>
    <col min="7434" max="7436" width="9.140625" style="1"/>
    <col min="7437" max="7437" width="10.7109375" style="1" customWidth="1"/>
    <col min="7438" max="7683" width="9.140625" style="1"/>
    <col min="7684" max="7684" width="35.5703125" style="1" customWidth="1"/>
    <col min="7685" max="7685" width="7.42578125" style="1" customWidth="1"/>
    <col min="7686" max="7686" width="10.28515625" style="1" customWidth="1"/>
    <col min="7687" max="7687" width="9.85546875" style="1" customWidth="1"/>
    <col min="7688" max="7688" width="12.5703125" style="1" customWidth="1"/>
    <col min="7689" max="7689" width="8.7109375" style="1" customWidth="1"/>
    <col min="7690" max="7692" width="9.140625" style="1"/>
    <col min="7693" max="7693" width="10.7109375" style="1" customWidth="1"/>
    <col min="7694" max="7939" width="9.140625" style="1"/>
    <col min="7940" max="7940" width="35.5703125" style="1" customWidth="1"/>
    <col min="7941" max="7941" width="7.42578125" style="1" customWidth="1"/>
    <col min="7942" max="7942" width="10.28515625" style="1" customWidth="1"/>
    <col min="7943" max="7943" width="9.85546875" style="1" customWidth="1"/>
    <col min="7944" max="7944" width="12.5703125" style="1" customWidth="1"/>
    <col min="7945" max="7945" width="8.7109375" style="1" customWidth="1"/>
    <col min="7946" max="7948" width="9.140625" style="1"/>
    <col min="7949" max="7949" width="10.7109375" style="1" customWidth="1"/>
    <col min="7950" max="8195" width="9.140625" style="1"/>
    <col min="8196" max="8196" width="35.5703125" style="1" customWidth="1"/>
    <col min="8197" max="8197" width="7.42578125" style="1" customWidth="1"/>
    <col min="8198" max="8198" width="10.28515625" style="1" customWidth="1"/>
    <col min="8199" max="8199" width="9.85546875" style="1" customWidth="1"/>
    <col min="8200" max="8200" width="12.5703125" style="1" customWidth="1"/>
    <col min="8201" max="8201" width="8.7109375" style="1" customWidth="1"/>
    <col min="8202" max="8204" width="9.140625" style="1"/>
    <col min="8205" max="8205" width="10.7109375" style="1" customWidth="1"/>
    <col min="8206" max="8451" width="9.140625" style="1"/>
    <col min="8452" max="8452" width="35.5703125" style="1" customWidth="1"/>
    <col min="8453" max="8453" width="7.42578125" style="1" customWidth="1"/>
    <col min="8454" max="8454" width="10.28515625" style="1" customWidth="1"/>
    <col min="8455" max="8455" width="9.85546875" style="1" customWidth="1"/>
    <col min="8456" max="8456" width="12.5703125" style="1" customWidth="1"/>
    <col min="8457" max="8457" width="8.7109375" style="1" customWidth="1"/>
    <col min="8458" max="8460" width="9.140625" style="1"/>
    <col min="8461" max="8461" width="10.7109375" style="1" customWidth="1"/>
    <col min="8462" max="8707" width="9.140625" style="1"/>
    <col min="8708" max="8708" width="35.5703125" style="1" customWidth="1"/>
    <col min="8709" max="8709" width="7.42578125" style="1" customWidth="1"/>
    <col min="8710" max="8710" width="10.28515625" style="1" customWidth="1"/>
    <col min="8711" max="8711" width="9.85546875" style="1" customWidth="1"/>
    <col min="8712" max="8712" width="12.5703125" style="1" customWidth="1"/>
    <col min="8713" max="8713" width="8.7109375" style="1" customWidth="1"/>
    <col min="8714" max="8716" width="9.140625" style="1"/>
    <col min="8717" max="8717" width="10.7109375" style="1" customWidth="1"/>
    <col min="8718" max="8963" width="9.140625" style="1"/>
    <col min="8964" max="8964" width="35.5703125" style="1" customWidth="1"/>
    <col min="8965" max="8965" width="7.42578125" style="1" customWidth="1"/>
    <col min="8966" max="8966" width="10.28515625" style="1" customWidth="1"/>
    <col min="8967" max="8967" width="9.85546875" style="1" customWidth="1"/>
    <col min="8968" max="8968" width="12.5703125" style="1" customWidth="1"/>
    <col min="8969" max="8969" width="8.7109375" style="1" customWidth="1"/>
    <col min="8970" max="8972" width="9.140625" style="1"/>
    <col min="8973" max="8973" width="10.7109375" style="1" customWidth="1"/>
    <col min="8974" max="9219" width="9.140625" style="1"/>
    <col min="9220" max="9220" width="35.5703125" style="1" customWidth="1"/>
    <col min="9221" max="9221" width="7.42578125" style="1" customWidth="1"/>
    <col min="9222" max="9222" width="10.28515625" style="1" customWidth="1"/>
    <col min="9223" max="9223" width="9.85546875" style="1" customWidth="1"/>
    <col min="9224" max="9224" width="12.5703125" style="1" customWidth="1"/>
    <col min="9225" max="9225" width="8.7109375" style="1" customWidth="1"/>
    <col min="9226" max="9228" width="9.140625" style="1"/>
    <col min="9229" max="9229" width="10.7109375" style="1" customWidth="1"/>
    <col min="9230" max="9475" width="9.140625" style="1"/>
    <col min="9476" max="9476" width="35.5703125" style="1" customWidth="1"/>
    <col min="9477" max="9477" width="7.42578125" style="1" customWidth="1"/>
    <col min="9478" max="9478" width="10.28515625" style="1" customWidth="1"/>
    <col min="9479" max="9479" width="9.85546875" style="1" customWidth="1"/>
    <col min="9480" max="9480" width="12.5703125" style="1" customWidth="1"/>
    <col min="9481" max="9481" width="8.7109375" style="1" customWidth="1"/>
    <col min="9482" max="9484" width="9.140625" style="1"/>
    <col min="9485" max="9485" width="10.7109375" style="1" customWidth="1"/>
    <col min="9486" max="9731" width="9.140625" style="1"/>
    <col min="9732" max="9732" width="35.5703125" style="1" customWidth="1"/>
    <col min="9733" max="9733" width="7.42578125" style="1" customWidth="1"/>
    <col min="9734" max="9734" width="10.28515625" style="1" customWidth="1"/>
    <col min="9735" max="9735" width="9.85546875" style="1" customWidth="1"/>
    <col min="9736" max="9736" width="12.5703125" style="1" customWidth="1"/>
    <col min="9737" max="9737" width="8.7109375" style="1" customWidth="1"/>
    <col min="9738" max="9740" width="9.140625" style="1"/>
    <col min="9741" max="9741" width="10.7109375" style="1" customWidth="1"/>
    <col min="9742" max="9987" width="9.140625" style="1"/>
    <col min="9988" max="9988" width="35.5703125" style="1" customWidth="1"/>
    <col min="9989" max="9989" width="7.42578125" style="1" customWidth="1"/>
    <col min="9990" max="9990" width="10.28515625" style="1" customWidth="1"/>
    <col min="9991" max="9991" width="9.85546875" style="1" customWidth="1"/>
    <col min="9992" max="9992" width="12.5703125" style="1" customWidth="1"/>
    <col min="9993" max="9993" width="8.7109375" style="1" customWidth="1"/>
    <col min="9994" max="9996" width="9.140625" style="1"/>
    <col min="9997" max="9997" width="10.7109375" style="1" customWidth="1"/>
    <col min="9998" max="10243" width="9.140625" style="1"/>
    <col min="10244" max="10244" width="35.5703125" style="1" customWidth="1"/>
    <col min="10245" max="10245" width="7.42578125" style="1" customWidth="1"/>
    <col min="10246" max="10246" width="10.28515625" style="1" customWidth="1"/>
    <col min="10247" max="10247" width="9.85546875" style="1" customWidth="1"/>
    <col min="10248" max="10248" width="12.5703125" style="1" customWidth="1"/>
    <col min="10249" max="10249" width="8.7109375" style="1" customWidth="1"/>
    <col min="10250" max="10252" width="9.140625" style="1"/>
    <col min="10253" max="10253" width="10.7109375" style="1" customWidth="1"/>
    <col min="10254" max="10499" width="9.140625" style="1"/>
    <col min="10500" max="10500" width="35.5703125" style="1" customWidth="1"/>
    <col min="10501" max="10501" width="7.42578125" style="1" customWidth="1"/>
    <col min="10502" max="10502" width="10.28515625" style="1" customWidth="1"/>
    <col min="10503" max="10503" width="9.85546875" style="1" customWidth="1"/>
    <col min="10504" max="10504" width="12.5703125" style="1" customWidth="1"/>
    <col min="10505" max="10505" width="8.7109375" style="1" customWidth="1"/>
    <col min="10506" max="10508" width="9.140625" style="1"/>
    <col min="10509" max="10509" width="10.7109375" style="1" customWidth="1"/>
    <col min="10510" max="10755" width="9.140625" style="1"/>
    <col min="10756" max="10756" width="35.5703125" style="1" customWidth="1"/>
    <col min="10757" max="10757" width="7.42578125" style="1" customWidth="1"/>
    <col min="10758" max="10758" width="10.28515625" style="1" customWidth="1"/>
    <col min="10759" max="10759" width="9.85546875" style="1" customWidth="1"/>
    <col min="10760" max="10760" width="12.5703125" style="1" customWidth="1"/>
    <col min="10761" max="10761" width="8.7109375" style="1" customWidth="1"/>
    <col min="10762" max="10764" width="9.140625" style="1"/>
    <col min="10765" max="10765" width="10.7109375" style="1" customWidth="1"/>
    <col min="10766" max="11011" width="9.140625" style="1"/>
    <col min="11012" max="11012" width="35.5703125" style="1" customWidth="1"/>
    <col min="11013" max="11013" width="7.42578125" style="1" customWidth="1"/>
    <col min="11014" max="11014" width="10.28515625" style="1" customWidth="1"/>
    <col min="11015" max="11015" width="9.85546875" style="1" customWidth="1"/>
    <col min="11016" max="11016" width="12.5703125" style="1" customWidth="1"/>
    <col min="11017" max="11017" width="8.7109375" style="1" customWidth="1"/>
    <col min="11018" max="11020" width="9.140625" style="1"/>
    <col min="11021" max="11021" width="10.7109375" style="1" customWidth="1"/>
    <col min="11022" max="11267" width="9.140625" style="1"/>
    <col min="11268" max="11268" width="35.5703125" style="1" customWidth="1"/>
    <col min="11269" max="11269" width="7.42578125" style="1" customWidth="1"/>
    <col min="11270" max="11270" width="10.28515625" style="1" customWidth="1"/>
    <col min="11271" max="11271" width="9.85546875" style="1" customWidth="1"/>
    <col min="11272" max="11272" width="12.5703125" style="1" customWidth="1"/>
    <col min="11273" max="11273" width="8.7109375" style="1" customWidth="1"/>
    <col min="11274" max="11276" width="9.140625" style="1"/>
    <col min="11277" max="11277" width="10.7109375" style="1" customWidth="1"/>
    <col min="11278" max="11523" width="9.140625" style="1"/>
    <col min="11524" max="11524" width="35.5703125" style="1" customWidth="1"/>
    <col min="11525" max="11525" width="7.42578125" style="1" customWidth="1"/>
    <col min="11526" max="11526" width="10.28515625" style="1" customWidth="1"/>
    <col min="11527" max="11527" width="9.85546875" style="1" customWidth="1"/>
    <col min="11528" max="11528" width="12.5703125" style="1" customWidth="1"/>
    <col min="11529" max="11529" width="8.7109375" style="1" customWidth="1"/>
    <col min="11530" max="11532" width="9.140625" style="1"/>
    <col min="11533" max="11533" width="10.7109375" style="1" customWidth="1"/>
    <col min="11534" max="11779" width="9.140625" style="1"/>
    <col min="11780" max="11780" width="35.5703125" style="1" customWidth="1"/>
    <col min="11781" max="11781" width="7.42578125" style="1" customWidth="1"/>
    <col min="11782" max="11782" width="10.28515625" style="1" customWidth="1"/>
    <col min="11783" max="11783" width="9.85546875" style="1" customWidth="1"/>
    <col min="11784" max="11784" width="12.5703125" style="1" customWidth="1"/>
    <col min="11785" max="11785" width="8.7109375" style="1" customWidth="1"/>
    <col min="11786" max="11788" width="9.140625" style="1"/>
    <col min="11789" max="11789" width="10.7109375" style="1" customWidth="1"/>
    <col min="11790" max="12035" width="9.140625" style="1"/>
    <col min="12036" max="12036" width="35.5703125" style="1" customWidth="1"/>
    <col min="12037" max="12037" width="7.42578125" style="1" customWidth="1"/>
    <col min="12038" max="12038" width="10.28515625" style="1" customWidth="1"/>
    <col min="12039" max="12039" width="9.85546875" style="1" customWidth="1"/>
    <col min="12040" max="12040" width="12.5703125" style="1" customWidth="1"/>
    <col min="12041" max="12041" width="8.7109375" style="1" customWidth="1"/>
    <col min="12042" max="12044" width="9.140625" style="1"/>
    <col min="12045" max="12045" width="10.7109375" style="1" customWidth="1"/>
    <col min="12046" max="12291" width="9.140625" style="1"/>
    <col min="12292" max="12292" width="35.5703125" style="1" customWidth="1"/>
    <col min="12293" max="12293" width="7.42578125" style="1" customWidth="1"/>
    <col min="12294" max="12294" width="10.28515625" style="1" customWidth="1"/>
    <col min="12295" max="12295" width="9.85546875" style="1" customWidth="1"/>
    <col min="12296" max="12296" width="12.5703125" style="1" customWidth="1"/>
    <col min="12297" max="12297" width="8.7109375" style="1" customWidth="1"/>
    <col min="12298" max="12300" width="9.140625" style="1"/>
    <col min="12301" max="12301" width="10.7109375" style="1" customWidth="1"/>
    <col min="12302" max="12547" width="9.140625" style="1"/>
    <col min="12548" max="12548" width="35.5703125" style="1" customWidth="1"/>
    <col min="12549" max="12549" width="7.42578125" style="1" customWidth="1"/>
    <col min="12550" max="12550" width="10.28515625" style="1" customWidth="1"/>
    <col min="12551" max="12551" width="9.85546875" style="1" customWidth="1"/>
    <col min="12552" max="12552" width="12.5703125" style="1" customWidth="1"/>
    <col min="12553" max="12553" width="8.7109375" style="1" customWidth="1"/>
    <col min="12554" max="12556" width="9.140625" style="1"/>
    <col min="12557" max="12557" width="10.7109375" style="1" customWidth="1"/>
    <col min="12558" max="12803" width="9.140625" style="1"/>
    <col min="12804" max="12804" width="35.5703125" style="1" customWidth="1"/>
    <col min="12805" max="12805" width="7.42578125" style="1" customWidth="1"/>
    <col min="12806" max="12806" width="10.28515625" style="1" customWidth="1"/>
    <col min="12807" max="12807" width="9.85546875" style="1" customWidth="1"/>
    <col min="12808" max="12808" width="12.5703125" style="1" customWidth="1"/>
    <col min="12809" max="12809" width="8.7109375" style="1" customWidth="1"/>
    <col min="12810" max="12812" width="9.140625" style="1"/>
    <col min="12813" max="12813" width="10.7109375" style="1" customWidth="1"/>
    <col min="12814" max="13059" width="9.140625" style="1"/>
    <col min="13060" max="13060" width="35.5703125" style="1" customWidth="1"/>
    <col min="13061" max="13061" width="7.42578125" style="1" customWidth="1"/>
    <col min="13062" max="13062" width="10.28515625" style="1" customWidth="1"/>
    <col min="13063" max="13063" width="9.85546875" style="1" customWidth="1"/>
    <col min="13064" max="13064" width="12.5703125" style="1" customWidth="1"/>
    <col min="13065" max="13065" width="8.7109375" style="1" customWidth="1"/>
    <col min="13066" max="13068" width="9.140625" style="1"/>
    <col min="13069" max="13069" width="10.7109375" style="1" customWidth="1"/>
    <col min="13070" max="13315" width="9.140625" style="1"/>
    <col min="13316" max="13316" width="35.5703125" style="1" customWidth="1"/>
    <col min="13317" max="13317" width="7.42578125" style="1" customWidth="1"/>
    <col min="13318" max="13318" width="10.28515625" style="1" customWidth="1"/>
    <col min="13319" max="13319" width="9.85546875" style="1" customWidth="1"/>
    <col min="13320" max="13320" width="12.5703125" style="1" customWidth="1"/>
    <col min="13321" max="13321" width="8.7109375" style="1" customWidth="1"/>
    <col min="13322" max="13324" width="9.140625" style="1"/>
    <col min="13325" max="13325" width="10.7109375" style="1" customWidth="1"/>
    <col min="13326" max="13571" width="9.140625" style="1"/>
    <col min="13572" max="13572" width="35.5703125" style="1" customWidth="1"/>
    <col min="13573" max="13573" width="7.42578125" style="1" customWidth="1"/>
    <col min="13574" max="13574" width="10.28515625" style="1" customWidth="1"/>
    <col min="13575" max="13575" width="9.85546875" style="1" customWidth="1"/>
    <col min="13576" max="13576" width="12.5703125" style="1" customWidth="1"/>
    <col min="13577" max="13577" width="8.7109375" style="1" customWidth="1"/>
    <col min="13578" max="13580" width="9.140625" style="1"/>
    <col min="13581" max="13581" width="10.7109375" style="1" customWidth="1"/>
    <col min="13582" max="13827" width="9.140625" style="1"/>
    <col min="13828" max="13828" width="35.5703125" style="1" customWidth="1"/>
    <col min="13829" max="13829" width="7.42578125" style="1" customWidth="1"/>
    <col min="13830" max="13830" width="10.28515625" style="1" customWidth="1"/>
    <col min="13831" max="13831" width="9.85546875" style="1" customWidth="1"/>
    <col min="13832" max="13832" width="12.5703125" style="1" customWidth="1"/>
    <col min="13833" max="13833" width="8.7109375" style="1" customWidth="1"/>
    <col min="13834" max="13836" width="9.140625" style="1"/>
    <col min="13837" max="13837" width="10.7109375" style="1" customWidth="1"/>
    <col min="13838" max="14083" width="9.140625" style="1"/>
    <col min="14084" max="14084" width="35.5703125" style="1" customWidth="1"/>
    <col min="14085" max="14085" width="7.42578125" style="1" customWidth="1"/>
    <col min="14086" max="14086" width="10.28515625" style="1" customWidth="1"/>
    <col min="14087" max="14087" width="9.85546875" style="1" customWidth="1"/>
    <col min="14088" max="14088" width="12.5703125" style="1" customWidth="1"/>
    <col min="14089" max="14089" width="8.7109375" style="1" customWidth="1"/>
    <col min="14090" max="14092" width="9.140625" style="1"/>
    <col min="14093" max="14093" width="10.7109375" style="1" customWidth="1"/>
    <col min="14094" max="14339" width="9.140625" style="1"/>
    <col min="14340" max="14340" width="35.5703125" style="1" customWidth="1"/>
    <col min="14341" max="14341" width="7.42578125" style="1" customWidth="1"/>
    <col min="14342" max="14342" width="10.28515625" style="1" customWidth="1"/>
    <col min="14343" max="14343" width="9.85546875" style="1" customWidth="1"/>
    <col min="14344" max="14344" width="12.5703125" style="1" customWidth="1"/>
    <col min="14345" max="14345" width="8.7109375" style="1" customWidth="1"/>
    <col min="14346" max="14348" width="9.140625" style="1"/>
    <col min="14349" max="14349" width="10.7109375" style="1" customWidth="1"/>
    <col min="14350" max="14595" width="9.140625" style="1"/>
    <col min="14596" max="14596" width="35.5703125" style="1" customWidth="1"/>
    <col min="14597" max="14597" width="7.42578125" style="1" customWidth="1"/>
    <col min="14598" max="14598" width="10.28515625" style="1" customWidth="1"/>
    <col min="14599" max="14599" width="9.85546875" style="1" customWidth="1"/>
    <col min="14600" max="14600" width="12.5703125" style="1" customWidth="1"/>
    <col min="14601" max="14601" width="8.7109375" style="1" customWidth="1"/>
    <col min="14602" max="14604" width="9.140625" style="1"/>
    <col min="14605" max="14605" width="10.7109375" style="1" customWidth="1"/>
    <col min="14606" max="14851" width="9.140625" style="1"/>
    <col min="14852" max="14852" width="35.5703125" style="1" customWidth="1"/>
    <col min="14853" max="14853" width="7.42578125" style="1" customWidth="1"/>
    <col min="14854" max="14854" width="10.28515625" style="1" customWidth="1"/>
    <col min="14855" max="14855" width="9.85546875" style="1" customWidth="1"/>
    <col min="14856" max="14856" width="12.5703125" style="1" customWidth="1"/>
    <col min="14857" max="14857" width="8.7109375" style="1" customWidth="1"/>
    <col min="14858" max="14860" width="9.140625" style="1"/>
    <col min="14861" max="14861" width="10.7109375" style="1" customWidth="1"/>
    <col min="14862" max="15107" width="9.140625" style="1"/>
    <col min="15108" max="15108" width="35.5703125" style="1" customWidth="1"/>
    <col min="15109" max="15109" width="7.42578125" style="1" customWidth="1"/>
    <col min="15110" max="15110" width="10.28515625" style="1" customWidth="1"/>
    <col min="15111" max="15111" width="9.85546875" style="1" customWidth="1"/>
    <col min="15112" max="15112" width="12.5703125" style="1" customWidth="1"/>
    <col min="15113" max="15113" width="8.7109375" style="1" customWidth="1"/>
    <col min="15114" max="15116" width="9.140625" style="1"/>
    <col min="15117" max="15117" width="10.7109375" style="1" customWidth="1"/>
    <col min="15118" max="15363" width="9.140625" style="1"/>
    <col min="15364" max="15364" width="35.5703125" style="1" customWidth="1"/>
    <col min="15365" max="15365" width="7.42578125" style="1" customWidth="1"/>
    <col min="15366" max="15366" width="10.28515625" style="1" customWidth="1"/>
    <col min="15367" max="15367" width="9.85546875" style="1" customWidth="1"/>
    <col min="15368" max="15368" width="12.5703125" style="1" customWidth="1"/>
    <col min="15369" max="15369" width="8.7109375" style="1" customWidth="1"/>
    <col min="15370" max="15372" width="9.140625" style="1"/>
    <col min="15373" max="15373" width="10.7109375" style="1" customWidth="1"/>
    <col min="15374" max="15619" width="9.140625" style="1"/>
    <col min="15620" max="15620" width="35.5703125" style="1" customWidth="1"/>
    <col min="15621" max="15621" width="7.42578125" style="1" customWidth="1"/>
    <col min="15622" max="15622" width="10.28515625" style="1" customWidth="1"/>
    <col min="15623" max="15623" width="9.85546875" style="1" customWidth="1"/>
    <col min="15624" max="15624" width="12.5703125" style="1" customWidth="1"/>
    <col min="15625" max="15625" width="8.7109375" style="1" customWidth="1"/>
    <col min="15626" max="15628" width="9.140625" style="1"/>
    <col min="15629" max="15629" width="10.7109375" style="1" customWidth="1"/>
    <col min="15630" max="15875" width="9.140625" style="1"/>
    <col min="15876" max="15876" width="35.5703125" style="1" customWidth="1"/>
    <col min="15877" max="15877" width="7.42578125" style="1" customWidth="1"/>
    <col min="15878" max="15878" width="10.28515625" style="1" customWidth="1"/>
    <col min="15879" max="15879" width="9.85546875" style="1" customWidth="1"/>
    <col min="15880" max="15880" width="12.5703125" style="1" customWidth="1"/>
    <col min="15881" max="15881" width="8.7109375" style="1" customWidth="1"/>
    <col min="15882" max="15884" width="9.140625" style="1"/>
    <col min="15885" max="15885" width="10.7109375" style="1" customWidth="1"/>
    <col min="15886" max="16131" width="9.140625" style="1"/>
    <col min="16132" max="16132" width="35.5703125" style="1" customWidth="1"/>
    <col min="16133" max="16133" width="7.42578125" style="1" customWidth="1"/>
    <col min="16134" max="16134" width="10.28515625" style="1" customWidth="1"/>
    <col min="16135" max="16135" width="9.85546875" style="1" customWidth="1"/>
    <col min="16136" max="16136" width="12.5703125" style="1" customWidth="1"/>
    <col min="16137" max="16137" width="8.7109375" style="1" customWidth="1"/>
    <col min="16138" max="16140" width="9.140625" style="1"/>
    <col min="16141" max="16141" width="10.7109375" style="1" customWidth="1"/>
    <col min="16142" max="16384" width="9.140625" style="1"/>
  </cols>
  <sheetData>
    <row r="1" spans="1:14">
      <c r="A1" s="22"/>
      <c r="B1" s="22"/>
      <c r="C1" s="22"/>
      <c r="D1" s="22"/>
      <c r="E1" s="23"/>
      <c r="F1" s="22"/>
      <c r="G1" s="22"/>
      <c r="H1" s="22"/>
      <c r="I1" s="22"/>
      <c r="J1" s="22"/>
      <c r="K1" s="22"/>
      <c r="L1" s="22"/>
      <c r="M1" s="22"/>
    </row>
    <row r="2" spans="1:14" ht="15.75">
      <c r="A2" s="71" t="s">
        <v>133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4">
      <c r="A3" s="22"/>
      <c r="B3" s="22"/>
      <c r="C3" s="22"/>
      <c r="D3" s="22"/>
      <c r="E3" s="23"/>
      <c r="F3" s="22"/>
      <c r="G3" s="22"/>
      <c r="H3" s="22"/>
      <c r="I3" s="22"/>
      <c r="J3" s="22"/>
      <c r="K3" s="22"/>
      <c r="L3" s="22"/>
      <c r="M3" s="22"/>
    </row>
    <row r="4" spans="1:14" s="2" customFormat="1" ht="15.75">
      <c r="A4" s="72" t="s">
        <v>134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4" s="2" customFormat="1">
      <c r="A5" s="24"/>
      <c r="B5" s="25"/>
      <c r="C5" s="25"/>
      <c r="D5" s="25"/>
      <c r="E5" s="26"/>
      <c r="F5" s="25"/>
      <c r="G5" s="27"/>
      <c r="H5" s="27"/>
      <c r="I5" s="27"/>
      <c r="J5" s="27"/>
      <c r="K5" s="27"/>
      <c r="L5" s="27"/>
      <c r="M5" s="28" t="s">
        <v>119</v>
      </c>
    </row>
    <row r="6" spans="1:14" s="2" customFormat="1" ht="25.5">
      <c r="A6" s="29" t="s">
        <v>29</v>
      </c>
      <c r="B6" s="29" t="s">
        <v>26</v>
      </c>
      <c r="C6" s="29" t="s">
        <v>27</v>
      </c>
      <c r="D6" s="29" t="s">
        <v>28</v>
      </c>
      <c r="E6" s="30" t="s">
        <v>114</v>
      </c>
      <c r="F6" s="31" t="s">
        <v>112</v>
      </c>
      <c r="G6" s="32" t="s">
        <v>113</v>
      </c>
      <c r="H6" s="32" t="s">
        <v>120</v>
      </c>
      <c r="I6" s="32" t="s">
        <v>121</v>
      </c>
      <c r="J6" s="32" t="s">
        <v>131</v>
      </c>
      <c r="K6" s="32" t="s">
        <v>132</v>
      </c>
      <c r="L6" s="32" t="s">
        <v>135</v>
      </c>
      <c r="M6" s="30" t="s">
        <v>136</v>
      </c>
    </row>
    <row r="7" spans="1:14" s="4" customFormat="1" ht="14.25">
      <c r="A7" s="29">
        <v>1</v>
      </c>
      <c r="B7" s="33">
        <v>2</v>
      </c>
      <c r="C7" s="33">
        <v>3</v>
      </c>
      <c r="D7" s="33">
        <v>4</v>
      </c>
      <c r="E7" s="29">
        <v>5</v>
      </c>
      <c r="F7" s="29">
        <v>6</v>
      </c>
      <c r="G7" s="29">
        <v>7</v>
      </c>
      <c r="H7" s="29">
        <v>8</v>
      </c>
      <c r="I7" s="29">
        <v>9</v>
      </c>
      <c r="J7" s="29">
        <v>10</v>
      </c>
      <c r="K7" s="29">
        <v>11</v>
      </c>
      <c r="L7" s="29">
        <v>12</v>
      </c>
      <c r="M7" s="29">
        <v>13</v>
      </c>
    </row>
    <row r="8" spans="1:14">
      <c r="A8" s="34" t="s">
        <v>31</v>
      </c>
      <c r="B8" s="45">
        <v>6049</v>
      </c>
      <c r="C8" s="46">
        <f>56745.2/10</f>
        <v>5674.5199999999995</v>
      </c>
      <c r="D8" s="46">
        <v>5853.04</v>
      </c>
      <c r="E8" s="49">
        <v>1080</v>
      </c>
      <c r="F8" s="49">
        <v>779</v>
      </c>
      <c r="G8" s="49">
        <v>945</v>
      </c>
      <c r="H8" s="49">
        <v>703</v>
      </c>
      <c r="I8" s="49">
        <v>764</v>
      </c>
      <c r="J8" s="49">
        <v>349.45</v>
      </c>
      <c r="K8" s="49">
        <v>90.9</v>
      </c>
      <c r="L8" s="49">
        <v>170</v>
      </c>
      <c r="M8" s="48">
        <f>(L8/K8-1)*100</f>
        <v>87.018701870187016</v>
      </c>
      <c r="N8" s="7"/>
    </row>
    <row r="9" spans="1:14" s="8" customFormat="1">
      <c r="A9" s="34" t="s">
        <v>0</v>
      </c>
      <c r="B9" s="41">
        <v>2479</v>
      </c>
      <c r="C9" s="42">
        <f>27979.1/10</f>
        <v>2797.91</v>
      </c>
      <c r="D9" s="42">
        <v>3278.81</v>
      </c>
      <c r="E9" s="43">
        <v>3126</v>
      </c>
      <c r="F9" s="43">
        <v>3877</v>
      </c>
      <c r="G9" s="43">
        <v>5233</v>
      </c>
      <c r="H9" s="43">
        <v>6321</v>
      </c>
      <c r="I9" s="43">
        <v>8770</v>
      </c>
      <c r="J9" s="43">
        <v>9195.7800000000007</v>
      </c>
      <c r="K9" s="43">
        <v>11435.6</v>
      </c>
      <c r="L9" s="43">
        <v>13866</v>
      </c>
      <c r="M9" s="44">
        <f t="shared" ref="M9:M72" si="0">(L9/K9-1)*100</f>
        <v>21.252929448389235</v>
      </c>
    </row>
    <row r="10" spans="1:14" s="8" customFormat="1">
      <c r="A10" s="34" t="s">
        <v>1</v>
      </c>
      <c r="B10" s="45">
        <v>1029</v>
      </c>
      <c r="C10" s="46">
        <f>15552.1/10</f>
        <v>1555.21</v>
      </c>
      <c r="D10" s="46">
        <v>794.97</v>
      </c>
      <c r="E10" s="49">
        <v>1000</v>
      </c>
      <c r="F10" s="49">
        <v>930</v>
      </c>
      <c r="G10" s="49">
        <v>657</v>
      </c>
      <c r="H10" s="49">
        <v>450</v>
      </c>
      <c r="I10" s="49">
        <v>526</v>
      </c>
      <c r="J10" s="49">
        <v>1007.45</v>
      </c>
      <c r="K10" s="49">
        <v>1183.5</v>
      </c>
      <c r="L10" s="49">
        <v>1341</v>
      </c>
      <c r="M10" s="48">
        <f t="shared" si="0"/>
        <v>13.307984790874517</v>
      </c>
    </row>
    <row r="11" spans="1:14" s="8" customFormat="1">
      <c r="A11" s="34" t="s">
        <v>2</v>
      </c>
      <c r="B11" s="41">
        <v>569</v>
      </c>
      <c r="C11" s="42">
        <f>7574.7/10</f>
        <v>757.47</v>
      </c>
      <c r="D11" s="42">
        <v>821.69</v>
      </c>
      <c r="E11" s="43">
        <v>674</v>
      </c>
      <c r="F11" s="43">
        <v>794</v>
      </c>
      <c r="G11" s="43">
        <v>1093</v>
      </c>
      <c r="H11" s="43">
        <v>777</v>
      </c>
      <c r="I11" s="43">
        <v>856</v>
      </c>
      <c r="J11" s="43">
        <v>989.7</v>
      </c>
      <c r="K11" s="43">
        <v>984</v>
      </c>
      <c r="L11" s="43">
        <v>1564</v>
      </c>
      <c r="M11" s="44">
        <f t="shared" si="0"/>
        <v>58.943089430894304</v>
      </c>
    </row>
    <row r="12" spans="1:14" s="8" customFormat="1">
      <c r="A12" s="34" t="s">
        <v>3</v>
      </c>
      <c r="B12" s="45">
        <v>1268</v>
      </c>
      <c r="C12" s="46">
        <f>16458.5/10</f>
        <v>1645.85</v>
      </c>
      <c r="D12" s="46">
        <v>2257.34</v>
      </c>
      <c r="E12" s="49">
        <v>2076</v>
      </c>
      <c r="F12" s="49">
        <v>2096</v>
      </c>
      <c r="G12" s="49">
        <v>2456</v>
      </c>
      <c r="H12" s="49">
        <v>2185</v>
      </c>
      <c r="I12" s="49">
        <v>3085</v>
      </c>
      <c r="J12" s="49">
        <v>2932.33</v>
      </c>
      <c r="K12" s="49">
        <v>3615</v>
      </c>
      <c r="L12" s="49">
        <v>3915</v>
      </c>
      <c r="M12" s="48">
        <f t="shared" si="0"/>
        <v>8.2987551867219835</v>
      </c>
    </row>
    <row r="13" spans="1:14" s="8" customFormat="1">
      <c r="A13" s="34" t="s">
        <v>4</v>
      </c>
      <c r="B13" s="41">
        <v>476</v>
      </c>
      <c r="C13" s="42">
        <f>5385.4/10</f>
        <v>538.54</v>
      </c>
      <c r="D13" s="42">
        <v>527.27</v>
      </c>
      <c r="E13" s="43">
        <v>492</v>
      </c>
      <c r="F13" s="43">
        <v>554</v>
      </c>
      <c r="G13" s="43">
        <v>706</v>
      </c>
      <c r="H13" s="43">
        <v>719</v>
      </c>
      <c r="I13" s="43">
        <v>1101</v>
      </c>
      <c r="J13" s="43">
        <v>1321.89</v>
      </c>
      <c r="K13" s="43">
        <v>1815</v>
      </c>
      <c r="L13" s="43">
        <v>1751</v>
      </c>
      <c r="M13" s="44">
        <f t="shared" si="0"/>
        <v>-3.5261707988980762</v>
      </c>
    </row>
    <row r="14" spans="1:14" s="8" customFormat="1">
      <c r="A14" s="34" t="s">
        <v>33</v>
      </c>
      <c r="B14" s="45">
        <v>237</v>
      </c>
      <c r="C14" s="46">
        <f>2201/10</f>
        <v>220.1</v>
      </c>
      <c r="D14" s="46">
        <v>178.34</v>
      </c>
      <c r="E14" s="49">
        <v>164</v>
      </c>
      <c r="F14" s="49">
        <v>198</v>
      </c>
      <c r="G14" s="49">
        <v>210</v>
      </c>
      <c r="H14" s="49">
        <v>203</v>
      </c>
      <c r="I14" s="49">
        <v>268</v>
      </c>
      <c r="J14" s="49">
        <v>308.08999999999997</v>
      </c>
      <c r="K14" s="49">
        <v>357.9</v>
      </c>
      <c r="L14" s="49">
        <v>409</v>
      </c>
      <c r="M14" s="48">
        <f t="shared" si="0"/>
        <v>14.277731209835153</v>
      </c>
    </row>
    <row r="15" spans="1:14" s="8" customFormat="1">
      <c r="A15" s="34" t="s">
        <v>5</v>
      </c>
      <c r="B15" s="41">
        <v>787</v>
      </c>
      <c r="C15" s="42">
        <f>13025.7/10</f>
        <v>1302.5700000000002</v>
      </c>
      <c r="D15" s="42">
        <v>1801</v>
      </c>
      <c r="E15" s="43">
        <v>1598</v>
      </c>
      <c r="F15" s="43">
        <v>1785</v>
      </c>
      <c r="G15" s="43">
        <v>2299</v>
      </c>
      <c r="H15" s="43">
        <v>2145</v>
      </c>
      <c r="I15" s="43">
        <v>3216</v>
      </c>
      <c r="J15" s="43">
        <v>3470.56</v>
      </c>
      <c r="K15" s="43">
        <v>4488.1000000000004</v>
      </c>
      <c r="L15" s="43">
        <v>5053</v>
      </c>
      <c r="M15" s="44">
        <f t="shared" si="0"/>
        <v>12.586617945232948</v>
      </c>
    </row>
    <row r="16" spans="1:14" s="8" customFormat="1">
      <c r="A16" s="34" t="s">
        <v>34</v>
      </c>
      <c r="B16" s="46">
        <v>288</v>
      </c>
      <c r="C16" s="46">
        <f>3265/10</f>
        <v>326.5</v>
      </c>
      <c r="D16" s="46">
        <v>373.86</v>
      </c>
      <c r="E16" s="49">
        <v>382</v>
      </c>
      <c r="F16" s="49">
        <v>437</v>
      </c>
      <c r="G16" s="49">
        <v>570</v>
      </c>
      <c r="H16" s="49">
        <v>641</v>
      </c>
      <c r="I16" s="49">
        <v>833</v>
      </c>
      <c r="J16" s="49">
        <v>920.3</v>
      </c>
      <c r="K16" s="49">
        <v>1138.7</v>
      </c>
      <c r="L16" s="49">
        <v>1306</v>
      </c>
      <c r="M16" s="48">
        <f t="shared" si="0"/>
        <v>14.692192851497321</v>
      </c>
    </row>
    <row r="17" spans="1:13" s="8" customFormat="1">
      <c r="A17" s="34" t="s">
        <v>6</v>
      </c>
      <c r="B17" s="41">
        <v>463</v>
      </c>
      <c r="C17" s="42">
        <f>6248.3/10</f>
        <v>624.83000000000004</v>
      </c>
      <c r="D17" s="42">
        <v>829.91</v>
      </c>
      <c r="E17" s="43">
        <v>1046</v>
      </c>
      <c r="F17" s="43">
        <v>1360</v>
      </c>
      <c r="G17" s="43">
        <v>1717</v>
      </c>
      <c r="H17" s="43">
        <v>1772</v>
      </c>
      <c r="I17" s="43">
        <v>2421</v>
      </c>
      <c r="J17" s="43">
        <v>2818.5</v>
      </c>
      <c r="K17" s="43">
        <v>3392.4</v>
      </c>
      <c r="L17" s="43">
        <v>4114</v>
      </c>
      <c r="M17" s="44">
        <f t="shared" si="0"/>
        <v>21.271076523994804</v>
      </c>
    </row>
    <row r="18" spans="1:13" s="8" customFormat="1">
      <c r="A18" s="34" t="s">
        <v>35</v>
      </c>
      <c r="B18" s="45">
        <v>209</v>
      </c>
      <c r="C18" s="46">
        <f>2238/10</f>
        <v>223.8</v>
      </c>
      <c r="D18" s="46">
        <v>260.44</v>
      </c>
      <c r="E18" s="49">
        <v>217</v>
      </c>
      <c r="F18" s="49">
        <v>256</v>
      </c>
      <c r="G18" s="49">
        <v>293</v>
      </c>
      <c r="H18" s="49">
        <v>263</v>
      </c>
      <c r="I18" s="49">
        <v>347</v>
      </c>
      <c r="J18" s="49">
        <v>383.5</v>
      </c>
      <c r="K18" s="49">
        <v>408.5</v>
      </c>
      <c r="L18" s="49">
        <v>477</v>
      </c>
      <c r="M18" s="48">
        <f t="shared" si="0"/>
        <v>16.768665850673202</v>
      </c>
    </row>
    <row r="19" spans="1:13" s="8" customFormat="1">
      <c r="A19" s="34" t="s">
        <v>36</v>
      </c>
      <c r="B19" s="41">
        <v>200</v>
      </c>
      <c r="C19" s="42">
        <f>2179.3/10</f>
        <v>217.93</v>
      </c>
      <c r="D19" s="42">
        <v>229.4</v>
      </c>
      <c r="E19" s="43">
        <v>204</v>
      </c>
      <c r="F19" s="43">
        <v>268</v>
      </c>
      <c r="G19" s="43">
        <v>372</v>
      </c>
      <c r="H19" s="43">
        <v>404</v>
      </c>
      <c r="I19" s="43">
        <v>551</v>
      </c>
      <c r="J19" s="43">
        <v>584.04</v>
      </c>
      <c r="K19" s="43">
        <v>804.3</v>
      </c>
      <c r="L19" s="43">
        <v>863.9</v>
      </c>
      <c r="M19" s="44">
        <f t="shared" si="0"/>
        <v>7.4101703344523262</v>
      </c>
    </row>
    <row r="20" spans="1:13" s="8" customFormat="1">
      <c r="A20" s="34" t="s">
        <v>7</v>
      </c>
      <c r="B20" s="45">
        <v>359</v>
      </c>
      <c r="C20" s="46">
        <f>4405.5/10</f>
        <v>440.55</v>
      </c>
      <c r="D20" s="46">
        <v>515.57000000000005</v>
      </c>
      <c r="E20" s="49">
        <v>511</v>
      </c>
      <c r="F20" s="49">
        <v>560</v>
      </c>
      <c r="G20" s="49">
        <v>645</v>
      </c>
      <c r="H20" s="49">
        <v>780</v>
      </c>
      <c r="I20" s="49">
        <v>1037</v>
      </c>
      <c r="J20" s="49">
        <v>1167.3599999999999</v>
      </c>
      <c r="K20" s="49">
        <v>1461.2</v>
      </c>
      <c r="L20" s="49">
        <v>1783</v>
      </c>
      <c r="M20" s="48">
        <f t="shared" si="0"/>
        <v>22.022994798795501</v>
      </c>
    </row>
    <row r="21" spans="1:13" s="8" customFormat="1">
      <c r="A21" s="34" t="s">
        <v>37</v>
      </c>
      <c r="B21" s="41">
        <v>179</v>
      </c>
      <c r="C21" s="42">
        <f>3420.8/10</f>
        <v>342.08000000000004</v>
      </c>
      <c r="D21" s="42">
        <v>323.83999999999997</v>
      </c>
      <c r="E21" s="43">
        <v>284</v>
      </c>
      <c r="F21" s="43">
        <v>329</v>
      </c>
      <c r="G21" s="43">
        <v>366</v>
      </c>
      <c r="H21" s="43">
        <v>396</v>
      </c>
      <c r="I21" s="43">
        <v>491</v>
      </c>
      <c r="J21" s="43">
        <v>503.39</v>
      </c>
      <c r="K21" s="43">
        <v>548.4</v>
      </c>
      <c r="L21" s="43">
        <v>598</v>
      </c>
      <c r="M21" s="44">
        <f t="shared" si="0"/>
        <v>9.0444930707512796</v>
      </c>
    </row>
    <row r="22" spans="1:13" s="8" customFormat="1">
      <c r="A22" s="34" t="s">
        <v>38</v>
      </c>
      <c r="B22" s="45">
        <v>101</v>
      </c>
      <c r="C22" s="46">
        <f>1083.6/10</f>
        <v>108.35999999999999</v>
      </c>
      <c r="D22" s="46">
        <v>114.59</v>
      </c>
      <c r="E22" s="49">
        <v>76</v>
      </c>
      <c r="F22" s="49">
        <v>83</v>
      </c>
      <c r="G22" s="49">
        <v>92</v>
      </c>
      <c r="H22" s="49">
        <v>94</v>
      </c>
      <c r="I22" s="49">
        <v>137</v>
      </c>
      <c r="J22" s="49">
        <v>147.1</v>
      </c>
      <c r="K22" s="49">
        <v>180.5</v>
      </c>
      <c r="L22" s="49">
        <v>199</v>
      </c>
      <c r="M22" s="48">
        <f t="shared" si="0"/>
        <v>10.249307479224367</v>
      </c>
    </row>
    <row r="23" spans="1:13" s="8" customFormat="1">
      <c r="A23" s="34" t="s">
        <v>39</v>
      </c>
      <c r="B23" s="41">
        <v>2</v>
      </c>
      <c r="C23" s="42">
        <v>3</v>
      </c>
      <c r="D23" s="50" t="s">
        <v>32</v>
      </c>
      <c r="E23" s="44">
        <v>0.4</v>
      </c>
      <c r="F23" s="44">
        <v>1</v>
      </c>
      <c r="G23" s="44">
        <v>0.1</v>
      </c>
      <c r="H23" s="44">
        <v>-3</v>
      </c>
      <c r="I23" s="44">
        <v>-1</v>
      </c>
      <c r="J23" s="43">
        <v>-5.4</v>
      </c>
      <c r="K23" s="43">
        <v>-7.4</v>
      </c>
      <c r="L23" s="43">
        <v>-3</v>
      </c>
      <c r="M23" s="44">
        <f t="shared" si="0"/>
        <v>-59.45945945945946</v>
      </c>
    </row>
    <row r="24" spans="1:13" s="8" customFormat="1">
      <c r="A24" s="34" t="s">
        <v>8</v>
      </c>
      <c r="B24" s="45">
        <v>973</v>
      </c>
      <c r="C24" s="46">
        <f>15673.5/10</f>
        <v>1567.35</v>
      </c>
      <c r="D24" s="46">
        <v>2095.5700000000002</v>
      </c>
      <c r="E24" s="49">
        <v>2077</v>
      </c>
      <c r="F24" s="49">
        <v>2870</v>
      </c>
      <c r="G24" s="49">
        <v>3774</v>
      </c>
      <c r="H24" s="49">
        <v>4432</v>
      </c>
      <c r="I24" s="49">
        <v>7335</v>
      </c>
      <c r="J24" s="49">
        <v>9045.2999999999993</v>
      </c>
      <c r="K24" s="49">
        <v>13128.6</v>
      </c>
      <c r="L24" s="49">
        <v>15596.6</v>
      </c>
      <c r="M24" s="48">
        <f t="shared" si="0"/>
        <v>18.798653321755566</v>
      </c>
    </row>
    <row r="25" spans="1:13" s="8" customFormat="1">
      <c r="A25" s="34" t="s">
        <v>40</v>
      </c>
      <c r="B25" s="42">
        <v>70</v>
      </c>
      <c r="C25" s="42">
        <f>1103.7/10</f>
        <v>110.37</v>
      </c>
      <c r="D25" s="42">
        <v>114.31</v>
      </c>
      <c r="E25" s="43">
        <v>110</v>
      </c>
      <c r="F25" s="43">
        <v>124</v>
      </c>
      <c r="G25" s="43">
        <v>152</v>
      </c>
      <c r="H25" s="43">
        <v>124</v>
      </c>
      <c r="I25" s="43">
        <v>169</v>
      </c>
      <c r="J25" s="43">
        <v>191.2</v>
      </c>
      <c r="K25" s="43">
        <v>205</v>
      </c>
      <c r="L25" s="43">
        <v>241.9</v>
      </c>
      <c r="M25" s="44">
        <f t="shared" si="0"/>
        <v>17.999999999999993</v>
      </c>
    </row>
    <row r="26" spans="1:13" s="8" customFormat="1">
      <c r="A26" s="34" t="s">
        <v>41</v>
      </c>
      <c r="B26" s="46">
        <v>193</v>
      </c>
      <c r="C26" s="46">
        <f>2551.8/10</f>
        <v>255.18</v>
      </c>
      <c r="D26" s="46">
        <v>294.49</v>
      </c>
      <c r="E26" s="49">
        <v>187</v>
      </c>
      <c r="F26" s="49">
        <v>255</v>
      </c>
      <c r="G26" s="49">
        <v>372</v>
      </c>
      <c r="H26" s="49">
        <v>348</v>
      </c>
      <c r="I26" s="49">
        <v>478</v>
      </c>
      <c r="J26" s="49">
        <v>463.64</v>
      </c>
      <c r="K26" s="49">
        <v>468.9</v>
      </c>
      <c r="L26" s="49">
        <v>469.3</v>
      </c>
      <c r="M26" s="48">
        <f t="shared" si="0"/>
        <v>8.5306035402021863E-2</v>
      </c>
    </row>
    <row r="27" spans="1:13" s="8" customFormat="1">
      <c r="A27" s="34" t="s">
        <v>42</v>
      </c>
      <c r="B27" s="42">
        <v>126</v>
      </c>
      <c r="C27" s="42">
        <f>2176.8/10</f>
        <v>217.68</v>
      </c>
      <c r="D27" s="42">
        <v>261.22000000000003</v>
      </c>
      <c r="E27" s="43">
        <v>237</v>
      </c>
      <c r="F27" s="43">
        <v>289</v>
      </c>
      <c r="G27" s="43">
        <v>358</v>
      </c>
      <c r="H27" s="43">
        <v>426</v>
      </c>
      <c r="I27" s="43">
        <v>852</v>
      </c>
      <c r="J27" s="43">
        <v>1030.7</v>
      </c>
      <c r="K27" s="43">
        <v>1439.2</v>
      </c>
      <c r="L27" s="43">
        <v>1792.7</v>
      </c>
      <c r="M27" s="44">
        <f t="shared" si="0"/>
        <v>24.562256809338521</v>
      </c>
    </row>
    <row r="28" spans="1:13" s="8" customFormat="1">
      <c r="A28" s="34" t="s">
        <v>43</v>
      </c>
      <c r="B28" s="46">
        <v>152</v>
      </c>
      <c r="C28" s="46">
        <f>1506.4/10</f>
        <v>150.64000000000001</v>
      </c>
      <c r="D28" s="46">
        <v>171.14</v>
      </c>
      <c r="E28" s="49">
        <v>148</v>
      </c>
      <c r="F28" s="49">
        <v>175</v>
      </c>
      <c r="G28" s="49">
        <v>240</v>
      </c>
      <c r="H28" s="49">
        <v>297</v>
      </c>
      <c r="I28" s="49">
        <v>478</v>
      </c>
      <c r="J28" s="49">
        <v>626</v>
      </c>
      <c r="K28" s="49">
        <v>967.8</v>
      </c>
      <c r="L28" s="49">
        <v>1269.8</v>
      </c>
      <c r="M28" s="48">
        <f t="shared" si="0"/>
        <v>31.204794379003921</v>
      </c>
    </row>
    <row r="29" spans="1:13" s="8" customFormat="1">
      <c r="A29" s="34" t="s">
        <v>44</v>
      </c>
      <c r="B29" s="42">
        <v>28</v>
      </c>
      <c r="C29" s="42">
        <f>327.4/10</f>
        <v>32.739999999999995</v>
      </c>
      <c r="D29" s="42">
        <v>41.11</v>
      </c>
      <c r="E29" s="43">
        <v>41</v>
      </c>
      <c r="F29" s="43">
        <v>48</v>
      </c>
      <c r="G29" s="43">
        <v>75</v>
      </c>
      <c r="H29" s="43">
        <v>94</v>
      </c>
      <c r="I29" s="43">
        <v>89</v>
      </c>
      <c r="J29" s="43">
        <v>105</v>
      </c>
      <c r="K29" s="43">
        <v>109.7</v>
      </c>
      <c r="L29" s="43">
        <v>121.3</v>
      </c>
      <c r="M29" s="44">
        <f t="shared" si="0"/>
        <v>10.574293527803103</v>
      </c>
    </row>
    <row r="30" spans="1:13" s="8" customFormat="1">
      <c r="A30" s="34" t="s">
        <v>45</v>
      </c>
      <c r="B30" s="46">
        <v>47</v>
      </c>
      <c r="C30" s="46">
        <f>801.8/10</f>
        <v>80.179999999999993</v>
      </c>
      <c r="D30" s="46">
        <v>93.34</v>
      </c>
      <c r="E30" s="49">
        <v>82</v>
      </c>
      <c r="F30" s="49">
        <v>89</v>
      </c>
      <c r="G30" s="49">
        <v>111</v>
      </c>
      <c r="H30" s="49">
        <v>106</v>
      </c>
      <c r="I30" s="49">
        <v>133</v>
      </c>
      <c r="J30" s="49">
        <v>150.97999999999999</v>
      </c>
      <c r="K30" s="49">
        <v>190</v>
      </c>
      <c r="L30" s="49">
        <v>221.1</v>
      </c>
      <c r="M30" s="48">
        <f t="shared" si="0"/>
        <v>16.368421052631565</v>
      </c>
    </row>
    <row r="31" spans="1:13" s="8" customFormat="1">
      <c r="A31" s="34" t="s">
        <v>46</v>
      </c>
      <c r="B31" s="42">
        <v>5</v>
      </c>
      <c r="C31" s="42">
        <f>92/10</f>
        <v>9.1999999999999993</v>
      </c>
      <c r="D31" s="42">
        <v>14.65</v>
      </c>
      <c r="E31" s="43">
        <v>7</v>
      </c>
      <c r="F31" s="43">
        <v>5</v>
      </c>
      <c r="G31" s="43">
        <v>7</v>
      </c>
      <c r="H31" s="43">
        <v>0</v>
      </c>
      <c r="I31" s="43">
        <v>2</v>
      </c>
      <c r="J31" s="43">
        <v>17</v>
      </c>
      <c r="K31" s="43">
        <v>5.6</v>
      </c>
      <c r="L31" s="44">
        <v>0.3</v>
      </c>
      <c r="M31" s="44">
        <f t="shared" si="0"/>
        <v>-94.642857142857139</v>
      </c>
    </row>
    <row r="32" spans="1:13" s="8" customFormat="1">
      <c r="A32" s="34" t="s">
        <v>47</v>
      </c>
      <c r="B32" s="46">
        <v>18</v>
      </c>
      <c r="C32" s="46">
        <f>68.2/10</f>
        <v>6.82</v>
      </c>
      <c r="D32" s="46">
        <v>10.81</v>
      </c>
      <c r="E32" s="49">
        <v>5</v>
      </c>
      <c r="F32" s="49">
        <v>4</v>
      </c>
      <c r="G32" s="49">
        <v>4</v>
      </c>
      <c r="H32" s="49">
        <v>7</v>
      </c>
      <c r="I32" s="49">
        <v>10</v>
      </c>
      <c r="J32" s="49">
        <v>11.72</v>
      </c>
      <c r="K32" s="49">
        <v>12</v>
      </c>
      <c r="L32" s="49">
        <v>14.4</v>
      </c>
      <c r="M32" s="48">
        <f t="shared" si="0"/>
        <v>19.999999999999996</v>
      </c>
    </row>
    <row r="33" spans="1:13" s="8" customFormat="1">
      <c r="A33" s="34" t="s">
        <v>48</v>
      </c>
      <c r="B33" s="42">
        <v>14</v>
      </c>
      <c r="C33" s="42">
        <f>112.8/10</f>
        <v>11.28</v>
      </c>
      <c r="D33" s="42">
        <v>13.73</v>
      </c>
      <c r="E33" s="43">
        <v>10</v>
      </c>
      <c r="F33" s="43">
        <v>12</v>
      </c>
      <c r="G33" s="43">
        <v>14</v>
      </c>
      <c r="H33" s="43">
        <v>17</v>
      </c>
      <c r="I33" s="43">
        <v>22</v>
      </c>
      <c r="J33" s="43">
        <v>27.27</v>
      </c>
      <c r="K33" s="43">
        <v>40.1</v>
      </c>
      <c r="L33" s="43">
        <v>49.8</v>
      </c>
      <c r="M33" s="44">
        <f t="shared" si="0"/>
        <v>24.189526184538646</v>
      </c>
    </row>
    <row r="34" spans="1:13" s="8" customFormat="1">
      <c r="A34" s="34" t="s">
        <v>49</v>
      </c>
      <c r="B34" s="46">
        <v>170</v>
      </c>
      <c r="C34" s="46">
        <f>2694.3/10</f>
        <v>269.43</v>
      </c>
      <c r="D34" s="46">
        <v>365.22</v>
      </c>
      <c r="E34" s="49">
        <v>310</v>
      </c>
      <c r="F34" s="49">
        <v>292</v>
      </c>
      <c r="G34" s="49">
        <v>338</v>
      </c>
      <c r="H34" s="49">
        <v>356</v>
      </c>
      <c r="I34" s="49">
        <v>484</v>
      </c>
      <c r="J34" s="49">
        <v>543.45000000000005</v>
      </c>
      <c r="K34" s="49">
        <v>708.2</v>
      </c>
      <c r="L34" s="49">
        <v>803</v>
      </c>
      <c r="M34" s="48">
        <f t="shared" si="0"/>
        <v>13.386049138661393</v>
      </c>
    </row>
    <row r="35" spans="1:13" s="8" customFormat="1">
      <c r="A35" s="34" t="s">
        <v>50</v>
      </c>
      <c r="B35" s="42">
        <v>58</v>
      </c>
      <c r="C35" s="42">
        <f>637.8/10</f>
        <v>63.779999999999994</v>
      </c>
      <c r="D35" s="42">
        <v>65.77</v>
      </c>
      <c r="E35" s="43">
        <v>55</v>
      </c>
      <c r="F35" s="43">
        <v>57</v>
      </c>
      <c r="G35" s="43">
        <v>63</v>
      </c>
      <c r="H35" s="43">
        <v>56</v>
      </c>
      <c r="I35" s="43">
        <v>66</v>
      </c>
      <c r="J35" s="43">
        <v>70.900000000000006</v>
      </c>
      <c r="K35" s="43">
        <v>83.7</v>
      </c>
      <c r="L35" s="43">
        <v>93.7</v>
      </c>
      <c r="M35" s="44">
        <f t="shared" si="0"/>
        <v>11.947431302270006</v>
      </c>
    </row>
    <row r="36" spans="1:13" s="8" customFormat="1">
      <c r="A36" s="34" t="s">
        <v>51</v>
      </c>
      <c r="B36" s="46">
        <v>37</v>
      </c>
      <c r="C36" s="46">
        <f>275.5/10</f>
        <v>27.55</v>
      </c>
      <c r="D36" s="46">
        <v>30.41</v>
      </c>
      <c r="E36" s="49">
        <v>21</v>
      </c>
      <c r="F36" s="49">
        <v>31</v>
      </c>
      <c r="G36" s="49">
        <v>44</v>
      </c>
      <c r="H36" s="49">
        <v>52</v>
      </c>
      <c r="I36" s="49">
        <v>60</v>
      </c>
      <c r="J36" s="49">
        <v>69.59</v>
      </c>
      <c r="K36" s="49">
        <v>78.2</v>
      </c>
      <c r="L36" s="49">
        <v>43.7</v>
      </c>
      <c r="M36" s="48">
        <f t="shared" si="0"/>
        <v>-44.117647058823529</v>
      </c>
    </row>
    <row r="37" spans="1:13" s="8" customFormat="1">
      <c r="A37" s="34" t="s">
        <v>52</v>
      </c>
      <c r="B37" s="50" t="s">
        <v>32</v>
      </c>
      <c r="C37" s="42">
        <f>1401.9/10</f>
        <v>140.19</v>
      </c>
      <c r="D37" s="50" t="s">
        <v>32</v>
      </c>
      <c r="E37" s="43">
        <v>50</v>
      </c>
      <c r="F37" s="43">
        <v>49</v>
      </c>
      <c r="G37" s="43">
        <v>74</v>
      </c>
      <c r="H37" s="43">
        <v>242</v>
      </c>
      <c r="I37" s="43">
        <v>74</v>
      </c>
      <c r="J37" s="43">
        <v>73.099999999999994</v>
      </c>
      <c r="K37" s="43">
        <v>13.2</v>
      </c>
      <c r="L37" s="43">
        <v>58.9</v>
      </c>
      <c r="M37" s="44">
        <f t="shared" si="0"/>
        <v>346.21212121212119</v>
      </c>
    </row>
    <row r="38" spans="1:13" s="8" customFormat="1">
      <c r="A38" s="34" t="s">
        <v>53</v>
      </c>
      <c r="B38" s="47" t="s">
        <v>32</v>
      </c>
      <c r="C38" s="47" t="s">
        <v>32</v>
      </c>
      <c r="D38" s="47" t="s">
        <v>32</v>
      </c>
      <c r="E38" s="49">
        <v>15</v>
      </c>
      <c r="F38" s="49">
        <v>2</v>
      </c>
      <c r="G38" s="49">
        <v>1</v>
      </c>
      <c r="H38" s="49">
        <v>0</v>
      </c>
      <c r="I38" s="49">
        <v>0</v>
      </c>
      <c r="J38" s="49">
        <v>9</v>
      </c>
      <c r="K38" s="49">
        <v>1.2</v>
      </c>
      <c r="L38" s="49">
        <v>0</v>
      </c>
      <c r="M38" s="48">
        <f t="shared" si="0"/>
        <v>-100</v>
      </c>
    </row>
    <row r="39" spans="1:13" s="8" customFormat="1">
      <c r="A39" s="34" t="s">
        <v>54</v>
      </c>
      <c r="B39" s="50" t="s">
        <v>32</v>
      </c>
      <c r="C39" s="50" t="s">
        <v>32</v>
      </c>
      <c r="D39" s="50" t="s">
        <v>32</v>
      </c>
      <c r="E39" s="43">
        <v>1</v>
      </c>
      <c r="F39" s="43">
        <v>1</v>
      </c>
      <c r="G39" s="43">
        <v>1</v>
      </c>
      <c r="H39" s="43">
        <v>1</v>
      </c>
      <c r="I39" s="43">
        <v>0</v>
      </c>
      <c r="J39" s="43">
        <v>0.4</v>
      </c>
      <c r="K39" s="43">
        <v>0.2</v>
      </c>
      <c r="L39" s="43">
        <v>1</v>
      </c>
      <c r="M39" s="44">
        <f t="shared" si="0"/>
        <v>400</v>
      </c>
    </row>
    <row r="40" spans="1:13" s="8" customFormat="1">
      <c r="A40" s="34" t="s">
        <v>55</v>
      </c>
      <c r="B40" s="63" t="s">
        <v>32</v>
      </c>
      <c r="C40" s="63" t="s">
        <v>32</v>
      </c>
      <c r="D40" s="63" t="s">
        <v>32</v>
      </c>
      <c r="E40" s="64">
        <v>0.1</v>
      </c>
      <c r="F40" s="64">
        <v>0.4</v>
      </c>
      <c r="G40" s="64">
        <v>0.5</v>
      </c>
      <c r="H40" s="65">
        <v>0</v>
      </c>
      <c r="I40" s="65">
        <v>0</v>
      </c>
      <c r="J40" s="65">
        <v>0.3</v>
      </c>
      <c r="K40" s="65">
        <v>0.1</v>
      </c>
      <c r="L40" s="65">
        <v>0.1</v>
      </c>
      <c r="M40" s="64">
        <f t="shared" si="0"/>
        <v>0</v>
      </c>
    </row>
    <row r="41" spans="1:13" s="8" customFormat="1" ht="28.5" customHeight="1">
      <c r="A41" s="34" t="s">
        <v>56</v>
      </c>
      <c r="B41" s="42">
        <v>243</v>
      </c>
      <c r="C41" s="42">
        <f>3431/10</f>
        <v>343.1</v>
      </c>
      <c r="D41" s="42">
        <v>353.94</v>
      </c>
      <c r="E41" s="43">
        <v>380</v>
      </c>
      <c r="F41" s="43">
        <v>410</v>
      </c>
      <c r="G41" s="43">
        <v>534</v>
      </c>
      <c r="H41" s="43">
        <v>464</v>
      </c>
      <c r="I41" s="43">
        <v>662</v>
      </c>
      <c r="J41" s="43">
        <v>608</v>
      </c>
      <c r="K41" s="43">
        <v>823.3</v>
      </c>
      <c r="L41" s="43">
        <v>1196.2</v>
      </c>
      <c r="M41" s="44">
        <f t="shared" si="0"/>
        <v>45.293331713834583</v>
      </c>
    </row>
    <row r="42" spans="1:13" s="8" customFormat="1">
      <c r="A42" s="34" t="s">
        <v>57</v>
      </c>
      <c r="B42" s="46">
        <v>47</v>
      </c>
      <c r="C42" s="46">
        <f>555.9/10</f>
        <v>55.589999999999996</v>
      </c>
      <c r="D42" s="46">
        <v>70.72</v>
      </c>
      <c r="E42" s="49">
        <v>61</v>
      </c>
      <c r="F42" s="49">
        <v>85</v>
      </c>
      <c r="G42" s="49">
        <v>105</v>
      </c>
      <c r="H42" s="49">
        <v>87</v>
      </c>
      <c r="I42" s="49">
        <v>114</v>
      </c>
      <c r="J42" s="49">
        <v>118.7</v>
      </c>
      <c r="K42" s="49">
        <v>171.1</v>
      </c>
      <c r="L42" s="49">
        <v>211.3</v>
      </c>
      <c r="M42" s="48">
        <f t="shared" si="0"/>
        <v>23.495032144944481</v>
      </c>
    </row>
    <row r="43" spans="1:13" s="8" customFormat="1">
      <c r="A43" s="34" t="s">
        <v>58</v>
      </c>
      <c r="B43" s="42">
        <v>11</v>
      </c>
      <c r="C43" s="42">
        <f>160.7/10</f>
        <v>16.07</v>
      </c>
      <c r="D43" s="42">
        <v>12.82</v>
      </c>
      <c r="E43" s="43">
        <v>11</v>
      </c>
      <c r="F43" s="43">
        <v>12</v>
      </c>
      <c r="G43" s="43">
        <v>19</v>
      </c>
      <c r="H43" s="43">
        <v>19</v>
      </c>
      <c r="I43" s="43">
        <v>23</v>
      </c>
      <c r="J43" s="43">
        <v>26.25</v>
      </c>
      <c r="K43" s="43">
        <v>27.3</v>
      </c>
      <c r="L43" s="43">
        <v>35.1</v>
      </c>
      <c r="M43" s="44">
        <f t="shared" si="0"/>
        <v>28.57142857142858</v>
      </c>
    </row>
    <row r="44" spans="1:13" s="8" customFormat="1">
      <c r="A44" s="34" t="s">
        <v>9</v>
      </c>
      <c r="B44" s="46">
        <v>659</v>
      </c>
      <c r="C44" s="46">
        <f>8065.6/10</f>
        <v>806.56000000000006</v>
      </c>
      <c r="D44" s="46">
        <v>919.62</v>
      </c>
      <c r="E44" s="49">
        <v>913</v>
      </c>
      <c r="F44" s="49">
        <v>1084</v>
      </c>
      <c r="G44" s="49">
        <v>1631</v>
      </c>
      <c r="H44" s="49">
        <v>1209</v>
      </c>
      <c r="I44" s="49">
        <v>1535</v>
      </c>
      <c r="J44" s="49">
        <v>1555.99</v>
      </c>
      <c r="K44" s="49">
        <v>2196.5</v>
      </c>
      <c r="L44" s="49">
        <v>2104.3000000000002</v>
      </c>
      <c r="M44" s="48">
        <f t="shared" si="0"/>
        <v>-4.1975870703391704</v>
      </c>
    </row>
    <row r="45" spans="1:13" s="8" customFormat="1">
      <c r="A45" s="34" t="s">
        <v>10</v>
      </c>
      <c r="B45" s="42">
        <v>1257</v>
      </c>
      <c r="C45" s="42">
        <f>17577.6/10</f>
        <v>1757.7599999999998</v>
      </c>
      <c r="D45" s="42">
        <v>2086.4</v>
      </c>
      <c r="E45" s="43">
        <v>2126</v>
      </c>
      <c r="F45" s="43">
        <v>2185</v>
      </c>
      <c r="G45" s="43">
        <v>2302</v>
      </c>
      <c r="H45" s="43">
        <v>1149</v>
      </c>
      <c r="I45" s="43">
        <v>792</v>
      </c>
      <c r="J45" s="43">
        <v>837.7</v>
      </c>
      <c r="K45" s="43">
        <v>1104.0999999999999</v>
      </c>
      <c r="L45" s="43">
        <v>1320.2</v>
      </c>
      <c r="M45" s="44">
        <f t="shared" si="0"/>
        <v>19.572502490716424</v>
      </c>
    </row>
    <row r="46" spans="1:13" s="8" customFormat="1">
      <c r="A46" s="34" t="s">
        <v>11</v>
      </c>
      <c r="B46" s="49">
        <v>2948</v>
      </c>
      <c r="C46" s="49">
        <f>36945.1/10</f>
        <v>3694.5099999999998</v>
      </c>
      <c r="D46" s="49">
        <v>3918.44</v>
      </c>
      <c r="E46" s="49">
        <v>4063</v>
      </c>
      <c r="F46" s="49">
        <v>4344</v>
      </c>
      <c r="G46" s="66">
        <v>5808</v>
      </c>
      <c r="H46" s="66">
        <v>4961</v>
      </c>
      <c r="I46" s="66">
        <v>7177</v>
      </c>
      <c r="J46" s="49">
        <v>8095.1</v>
      </c>
      <c r="K46" s="49">
        <v>11005</v>
      </c>
      <c r="L46" s="49">
        <v>11032.4</v>
      </c>
      <c r="M46" s="48">
        <f t="shared" si="0"/>
        <v>0.24897773739209761</v>
      </c>
    </row>
    <row r="47" spans="1:13" s="8" customFormat="1">
      <c r="A47" s="34" t="s">
        <v>12</v>
      </c>
      <c r="B47" s="43">
        <v>862</v>
      </c>
      <c r="C47" s="43">
        <f>9660.4/10</f>
        <v>966.04</v>
      </c>
      <c r="D47" s="43">
        <v>1068.05</v>
      </c>
      <c r="E47" s="43">
        <v>1030</v>
      </c>
      <c r="F47" s="43">
        <v>1195</v>
      </c>
      <c r="G47" s="51">
        <v>1628</v>
      </c>
      <c r="H47" s="51">
        <v>1671</v>
      </c>
      <c r="I47" s="51">
        <v>2154</v>
      </c>
      <c r="J47" s="43">
        <v>2504.34</v>
      </c>
      <c r="K47" s="43">
        <v>3174</v>
      </c>
      <c r="L47" s="43">
        <v>3399.2</v>
      </c>
      <c r="M47" s="44">
        <f t="shared" si="0"/>
        <v>7.0951480781348497</v>
      </c>
    </row>
    <row r="48" spans="1:13" s="8" customFormat="1" ht="25.5">
      <c r="A48" s="34" t="s">
        <v>59</v>
      </c>
      <c r="B48" s="49">
        <v>220</v>
      </c>
      <c r="C48" s="49">
        <f>2421.1/10</f>
        <v>242.10999999999999</v>
      </c>
      <c r="D48" s="49">
        <v>281.77999999999997</v>
      </c>
      <c r="E48" s="49">
        <v>265</v>
      </c>
      <c r="F48" s="49">
        <v>317</v>
      </c>
      <c r="G48" s="66">
        <v>451</v>
      </c>
      <c r="H48" s="66">
        <v>556</v>
      </c>
      <c r="I48" s="66">
        <v>796</v>
      </c>
      <c r="J48" s="49">
        <v>890.8</v>
      </c>
      <c r="K48" s="49">
        <v>1195.9000000000001</v>
      </c>
      <c r="L48" s="49">
        <v>1366.8</v>
      </c>
      <c r="M48" s="48">
        <f t="shared" si="0"/>
        <v>14.290492516096641</v>
      </c>
    </row>
    <row r="49" spans="1:13" s="8" customFormat="1" ht="18.75" customHeight="1">
      <c r="A49" s="34" t="s">
        <v>60</v>
      </c>
      <c r="B49" s="43">
        <v>279</v>
      </c>
      <c r="C49" s="43">
        <f>2944.3/10</f>
        <v>294.43</v>
      </c>
      <c r="D49" s="43">
        <v>246.6</v>
      </c>
      <c r="E49" s="43">
        <v>193</v>
      </c>
      <c r="F49" s="43">
        <v>199</v>
      </c>
      <c r="G49" s="51">
        <v>557</v>
      </c>
      <c r="H49" s="51">
        <v>3264</v>
      </c>
      <c r="I49" s="51">
        <v>5710</v>
      </c>
      <c r="J49" s="43">
        <v>6023.8</v>
      </c>
      <c r="K49" s="43">
        <v>6160.5</v>
      </c>
      <c r="L49" s="43">
        <v>6926</v>
      </c>
      <c r="M49" s="44">
        <f t="shared" si="0"/>
        <v>12.425939452966484</v>
      </c>
    </row>
    <row r="50" spans="1:13" s="8" customFormat="1">
      <c r="A50" s="34" t="s">
        <v>13</v>
      </c>
      <c r="B50" s="49">
        <v>329</v>
      </c>
      <c r="C50" s="49">
        <f>3794.6/10</f>
        <v>379.46</v>
      </c>
      <c r="D50" s="49">
        <v>444.68</v>
      </c>
      <c r="E50" s="49">
        <v>484</v>
      </c>
      <c r="F50" s="49">
        <v>534</v>
      </c>
      <c r="G50" s="66">
        <v>629</v>
      </c>
      <c r="H50" s="66">
        <v>715</v>
      </c>
      <c r="I50" s="66">
        <v>1032</v>
      </c>
      <c r="J50" s="49">
        <v>1194.7</v>
      </c>
      <c r="K50" s="49">
        <v>1451.6</v>
      </c>
      <c r="L50" s="49">
        <v>1548.3</v>
      </c>
      <c r="M50" s="48">
        <f t="shared" si="0"/>
        <v>6.6616147699090744</v>
      </c>
    </row>
    <row r="51" spans="1:13" s="8" customFormat="1" ht="25.5">
      <c r="A51" s="34" t="s">
        <v>61</v>
      </c>
      <c r="B51" s="43">
        <v>188</v>
      </c>
      <c r="C51" s="43">
        <f>2360.3/10</f>
        <v>236.03000000000003</v>
      </c>
      <c r="D51" s="43">
        <v>320.08999999999997</v>
      </c>
      <c r="E51" s="43">
        <v>267</v>
      </c>
      <c r="F51" s="43">
        <v>359</v>
      </c>
      <c r="G51" s="51">
        <v>438</v>
      </c>
      <c r="H51" s="51">
        <v>401</v>
      </c>
      <c r="I51" s="51">
        <v>658</v>
      </c>
      <c r="J51" s="43">
        <v>619</v>
      </c>
      <c r="K51" s="43">
        <v>793.7</v>
      </c>
      <c r="L51" s="43">
        <v>956.9</v>
      </c>
      <c r="M51" s="44">
        <f t="shared" si="0"/>
        <v>20.561925160640037</v>
      </c>
    </row>
    <row r="52" spans="1:13" s="8" customFormat="1">
      <c r="A52" s="34" t="s">
        <v>62</v>
      </c>
      <c r="B52" s="49">
        <v>98</v>
      </c>
      <c r="C52" s="49">
        <f>1451.2/10</f>
        <v>145.12</v>
      </c>
      <c r="D52" s="49">
        <v>184.44</v>
      </c>
      <c r="E52" s="49">
        <v>171</v>
      </c>
      <c r="F52" s="49">
        <v>235</v>
      </c>
      <c r="G52" s="66">
        <v>299</v>
      </c>
      <c r="H52" s="66">
        <v>286</v>
      </c>
      <c r="I52" s="66">
        <v>416</v>
      </c>
      <c r="J52" s="49">
        <v>483.7</v>
      </c>
      <c r="K52" s="49">
        <v>638.79999999999995</v>
      </c>
      <c r="L52" s="49">
        <v>793.9</v>
      </c>
      <c r="M52" s="48">
        <f t="shared" si="0"/>
        <v>24.279899812147775</v>
      </c>
    </row>
    <row r="53" spans="1:13" s="8" customFormat="1">
      <c r="A53" s="34" t="s">
        <v>63</v>
      </c>
      <c r="B53" s="43">
        <v>7</v>
      </c>
      <c r="C53" s="43">
        <f>49.6/10</f>
        <v>4.96</v>
      </c>
      <c r="D53" s="43">
        <v>5.16</v>
      </c>
      <c r="E53" s="43">
        <v>13</v>
      </c>
      <c r="F53" s="43">
        <v>14</v>
      </c>
      <c r="G53" s="51">
        <v>17</v>
      </c>
      <c r="H53" s="51">
        <v>16</v>
      </c>
      <c r="I53" s="51">
        <v>32</v>
      </c>
      <c r="J53" s="43">
        <v>35.08</v>
      </c>
      <c r="K53" s="43">
        <v>78.900000000000006</v>
      </c>
      <c r="L53" s="43">
        <v>58.2</v>
      </c>
      <c r="M53" s="44">
        <f t="shared" si="0"/>
        <v>-26.235741444866921</v>
      </c>
    </row>
    <row r="54" spans="1:13" s="8" customFormat="1">
      <c r="A54" s="34" t="s">
        <v>64</v>
      </c>
      <c r="B54" s="49">
        <v>64</v>
      </c>
      <c r="C54" s="49">
        <f>592.3/10</f>
        <v>59.23</v>
      </c>
      <c r="D54" s="49">
        <v>81.88</v>
      </c>
      <c r="E54" s="49">
        <v>62</v>
      </c>
      <c r="F54" s="49">
        <v>72</v>
      </c>
      <c r="G54" s="66">
        <v>88</v>
      </c>
      <c r="H54" s="66">
        <v>86</v>
      </c>
      <c r="I54" s="66">
        <v>132</v>
      </c>
      <c r="J54" s="49">
        <v>155.49</v>
      </c>
      <c r="K54" s="49">
        <v>196.5</v>
      </c>
      <c r="L54" s="49">
        <v>214.7</v>
      </c>
      <c r="M54" s="48">
        <f t="shared" si="0"/>
        <v>9.262086513994916</v>
      </c>
    </row>
    <row r="55" spans="1:13" s="8" customFormat="1">
      <c r="A55" s="34" t="s">
        <v>65</v>
      </c>
      <c r="B55" s="43">
        <v>42</v>
      </c>
      <c r="C55" s="43">
        <f>506.8/10</f>
        <v>50.68</v>
      </c>
      <c r="D55" s="43">
        <v>56.75</v>
      </c>
      <c r="E55" s="43">
        <v>50</v>
      </c>
      <c r="F55" s="43">
        <v>63</v>
      </c>
      <c r="G55" s="51">
        <v>81</v>
      </c>
      <c r="H55" s="51">
        <v>96</v>
      </c>
      <c r="I55" s="51">
        <v>149</v>
      </c>
      <c r="J55" s="43">
        <v>179.19</v>
      </c>
      <c r="K55" s="43">
        <v>234.7</v>
      </c>
      <c r="L55" s="43">
        <v>271.2</v>
      </c>
      <c r="M55" s="44">
        <f t="shared" si="0"/>
        <v>15.551768214742223</v>
      </c>
    </row>
    <row r="56" spans="1:13" s="8" customFormat="1">
      <c r="A56" s="34" t="s">
        <v>66</v>
      </c>
      <c r="B56" s="49">
        <v>3</v>
      </c>
      <c r="C56" s="49">
        <f>34.3/10</f>
        <v>3.4299999999999997</v>
      </c>
      <c r="D56" s="49">
        <v>4.79</v>
      </c>
      <c r="E56" s="49">
        <v>3</v>
      </c>
      <c r="F56" s="49">
        <v>4</v>
      </c>
      <c r="G56" s="66">
        <v>5</v>
      </c>
      <c r="H56" s="66">
        <v>7</v>
      </c>
      <c r="I56" s="66">
        <v>12</v>
      </c>
      <c r="J56" s="49">
        <v>12.81</v>
      </c>
      <c r="K56" s="49">
        <v>16.2</v>
      </c>
      <c r="L56" s="49">
        <v>16.3</v>
      </c>
      <c r="M56" s="48">
        <f t="shared" si="0"/>
        <v>0.61728395061728669</v>
      </c>
    </row>
    <row r="57" spans="1:13" s="8" customFormat="1">
      <c r="A57" s="34" t="s">
        <v>67</v>
      </c>
      <c r="B57" s="43">
        <v>59</v>
      </c>
      <c r="C57" s="43">
        <f>533.1/10</f>
        <v>53.31</v>
      </c>
      <c r="D57" s="43">
        <v>51.56</v>
      </c>
      <c r="E57" s="43">
        <v>56</v>
      </c>
      <c r="F57" s="43">
        <v>81</v>
      </c>
      <c r="G57" s="51">
        <v>115</v>
      </c>
      <c r="H57" s="51">
        <v>103</v>
      </c>
      <c r="I57" s="51">
        <v>116</v>
      </c>
      <c r="J57" s="43">
        <v>204.16</v>
      </c>
      <c r="K57" s="43">
        <v>238.2</v>
      </c>
      <c r="L57" s="43">
        <v>211.6</v>
      </c>
      <c r="M57" s="44">
        <f t="shared" si="0"/>
        <v>-11.167086481947941</v>
      </c>
    </row>
    <row r="58" spans="1:13" s="8" customFormat="1">
      <c r="A58" s="34" t="s">
        <v>68</v>
      </c>
      <c r="B58" s="49">
        <v>12</v>
      </c>
      <c r="C58" s="49">
        <f>114/10</f>
        <v>11.4</v>
      </c>
      <c r="D58" s="49">
        <v>9.1999999999999993</v>
      </c>
      <c r="E58" s="49">
        <v>6</v>
      </c>
      <c r="F58" s="49">
        <v>7</v>
      </c>
      <c r="G58" s="66">
        <v>8</v>
      </c>
      <c r="H58" s="66">
        <v>19</v>
      </c>
      <c r="I58" s="66">
        <v>35</v>
      </c>
      <c r="J58" s="49">
        <v>41.05</v>
      </c>
      <c r="K58" s="49">
        <v>53.4</v>
      </c>
      <c r="L58" s="49">
        <v>65</v>
      </c>
      <c r="M58" s="48">
        <f t="shared" si="0"/>
        <v>21.722846441947574</v>
      </c>
    </row>
    <row r="59" spans="1:13" s="8" customFormat="1">
      <c r="A59" s="34" t="s">
        <v>14</v>
      </c>
      <c r="B59" s="43">
        <v>331</v>
      </c>
      <c r="C59" s="43">
        <f>4146.9/10</f>
        <v>414.68999999999994</v>
      </c>
      <c r="D59" s="43">
        <v>481.9</v>
      </c>
      <c r="E59" s="43">
        <v>437</v>
      </c>
      <c r="F59" s="43">
        <v>565</v>
      </c>
      <c r="G59" s="51">
        <v>765</v>
      </c>
      <c r="H59" s="51">
        <v>756</v>
      </c>
      <c r="I59" s="51">
        <v>1155</v>
      </c>
      <c r="J59" s="43">
        <v>1320</v>
      </c>
      <c r="K59" s="43">
        <v>1657.7</v>
      </c>
      <c r="L59" s="43">
        <v>2070.1</v>
      </c>
      <c r="M59" s="44">
        <f t="shared" si="0"/>
        <v>24.877842794232976</v>
      </c>
    </row>
    <row r="60" spans="1:13" s="8" customFormat="1" ht="27.75" customHeight="1">
      <c r="A60" s="34" t="s">
        <v>69</v>
      </c>
      <c r="B60" s="49">
        <v>249</v>
      </c>
      <c r="C60" s="49">
        <f>3037.3/10</f>
        <v>303.73</v>
      </c>
      <c r="D60" s="49">
        <v>405.34</v>
      </c>
      <c r="E60" s="49">
        <v>387</v>
      </c>
      <c r="F60" s="49">
        <v>466</v>
      </c>
      <c r="G60" s="66">
        <v>601</v>
      </c>
      <c r="H60" s="66">
        <v>613</v>
      </c>
      <c r="I60" s="66">
        <v>894</v>
      </c>
      <c r="J60" s="49">
        <v>992.6</v>
      </c>
      <c r="K60" s="49">
        <v>1327.9</v>
      </c>
      <c r="L60" s="49">
        <v>1678</v>
      </c>
      <c r="M60" s="48">
        <f t="shared" si="0"/>
        <v>26.364937118758935</v>
      </c>
    </row>
    <row r="61" spans="1:13" s="8" customFormat="1">
      <c r="A61" s="34" t="s">
        <v>15</v>
      </c>
      <c r="B61" s="43">
        <v>1395</v>
      </c>
      <c r="C61" s="43">
        <f>17743.5/10</f>
        <v>1774.35</v>
      </c>
      <c r="D61" s="43">
        <v>2275.67</v>
      </c>
      <c r="E61" s="43">
        <v>2216</v>
      </c>
      <c r="F61" s="43">
        <v>2522</v>
      </c>
      <c r="G61" s="51">
        <v>3441</v>
      </c>
      <c r="H61" s="51">
        <v>2999</v>
      </c>
      <c r="I61" s="51">
        <v>4068</v>
      </c>
      <c r="J61" s="43">
        <v>4628</v>
      </c>
      <c r="K61" s="43">
        <v>5751.6</v>
      </c>
      <c r="L61" s="43">
        <v>6366.9</v>
      </c>
      <c r="M61" s="44">
        <f t="shared" si="0"/>
        <v>10.697892760275396</v>
      </c>
    </row>
    <row r="62" spans="1:13" s="8" customFormat="1">
      <c r="A62" s="34" t="s">
        <v>16</v>
      </c>
      <c r="B62" s="49">
        <v>861</v>
      </c>
      <c r="C62" s="49">
        <f>12819.5/10</f>
        <v>1281.95</v>
      </c>
      <c r="D62" s="49">
        <v>1546.04</v>
      </c>
      <c r="E62" s="49">
        <v>1450</v>
      </c>
      <c r="F62" s="49">
        <v>1746</v>
      </c>
      <c r="G62" s="66">
        <v>2276</v>
      </c>
      <c r="H62" s="66">
        <v>1908</v>
      </c>
      <c r="I62" s="66">
        <v>2316</v>
      </c>
      <c r="J62" s="49">
        <v>2475.64</v>
      </c>
      <c r="K62" s="49">
        <v>3093</v>
      </c>
      <c r="L62" s="49">
        <v>3460.2</v>
      </c>
      <c r="M62" s="48">
        <f t="shared" si="0"/>
        <v>11.871968962172641</v>
      </c>
    </row>
    <row r="63" spans="1:13" s="8" customFormat="1">
      <c r="A63" s="34" t="s">
        <v>17</v>
      </c>
      <c r="B63" s="43">
        <v>2943</v>
      </c>
      <c r="C63" s="43">
        <f>37962.4/10</f>
        <v>3796.2400000000002</v>
      </c>
      <c r="D63" s="43">
        <v>4125.21</v>
      </c>
      <c r="E63" s="43">
        <v>3643</v>
      </c>
      <c r="F63" s="43">
        <v>4203</v>
      </c>
      <c r="G63" s="51">
        <v>5272</v>
      </c>
      <c r="H63" s="51">
        <v>5011</v>
      </c>
      <c r="I63" s="51">
        <v>6599</v>
      </c>
      <c r="J63" s="43">
        <v>7490.4</v>
      </c>
      <c r="K63" s="43">
        <v>9577.5</v>
      </c>
      <c r="L63" s="43">
        <v>10999.2</v>
      </c>
      <c r="M63" s="44">
        <f t="shared" si="0"/>
        <v>14.844166014095549</v>
      </c>
    </row>
    <row r="64" spans="1:13" s="8" customFormat="1">
      <c r="A64" s="34" t="s">
        <v>70</v>
      </c>
      <c r="B64" s="49">
        <v>22</v>
      </c>
      <c r="C64" s="49">
        <f>149.8/10</f>
        <v>14.98</v>
      </c>
      <c r="D64" s="49">
        <v>13.62</v>
      </c>
      <c r="E64" s="49">
        <v>6</v>
      </c>
      <c r="F64" s="49">
        <v>10</v>
      </c>
      <c r="G64" s="66">
        <v>12</v>
      </c>
      <c r="H64" s="66">
        <v>7</v>
      </c>
      <c r="I64" s="66">
        <v>9</v>
      </c>
      <c r="J64" s="49">
        <v>8.5</v>
      </c>
      <c r="K64" s="49">
        <v>13.7</v>
      </c>
      <c r="L64" s="49">
        <v>6.1</v>
      </c>
      <c r="M64" s="48">
        <f t="shared" si="0"/>
        <v>-55.474452554744524</v>
      </c>
    </row>
    <row r="65" spans="1:13" s="8" customFormat="1">
      <c r="A65" s="34" t="s">
        <v>71</v>
      </c>
      <c r="B65" s="43">
        <v>72</v>
      </c>
      <c r="C65" s="43">
        <f>795.3/10</f>
        <v>79.53</v>
      </c>
      <c r="D65" s="43">
        <v>131.66999999999999</v>
      </c>
      <c r="E65" s="43">
        <v>169</v>
      </c>
      <c r="F65" s="43">
        <v>147</v>
      </c>
      <c r="G65" s="51">
        <v>265</v>
      </c>
      <c r="H65" s="51">
        <v>200</v>
      </c>
      <c r="I65" s="51">
        <v>225</v>
      </c>
      <c r="J65" s="43">
        <v>294</v>
      </c>
      <c r="K65" s="43">
        <v>355.1</v>
      </c>
      <c r="L65" s="43">
        <v>407.7</v>
      </c>
      <c r="M65" s="44">
        <f t="shared" si="0"/>
        <v>14.812728808786257</v>
      </c>
    </row>
    <row r="66" spans="1:13" s="8" customFormat="1">
      <c r="A66" s="34" t="s">
        <v>72</v>
      </c>
      <c r="B66" s="49">
        <v>73</v>
      </c>
      <c r="C66" s="49">
        <f>1032.4/10</f>
        <v>103.24000000000001</v>
      </c>
      <c r="D66" s="49">
        <v>134.54</v>
      </c>
      <c r="E66" s="49">
        <v>80</v>
      </c>
      <c r="F66" s="49">
        <v>94</v>
      </c>
      <c r="G66" s="66">
        <v>141</v>
      </c>
      <c r="H66" s="66">
        <v>148</v>
      </c>
      <c r="I66" s="66">
        <v>165</v>
      </c>
      <c r="J66" s="49">
        <v>185.4</v>
      </c>
      <c r="K66" s="49">
        <v>221.1</v>
      </c>
      <c r="L66" s="49">
        <v>-81.900000000000006</v>
      </c>
      <c r="M66" s="48">
        <f t="shared" si="0"/>
        <v>-137.04206241519674</v>
      </c>
    </row>
    <row r="67" spans="1:13" s="8" customFormat="1">
      <c r="A67" s="34" t="s">
        <v>18</v>
      </c>
      <c r="B67" s="43">
        <v>2482</v>
      </c>
      <c r="C67" s="43">
        <f>28337.5/10</f>
        <v>2833.75</v>
      </c>
      <c r="D67" s="43">
        <v>3207.59</v>
      </c>
      <c r="E67" s="43">
        <v>2628</v>
      </c>
      <c r="F67" s="43">
        <v>3028</v>
      </c>
      <c r="G67" s="51">
        <v>3386</v>
      </c>
      <c r="H67" s="51">
        <v>3419</v>
      </c>
      <c r="I67" s="51">
        <v>4637</v>
      </c>
      <c r="J67" s="43">
        <v>5065.8999999999996</v>
      </c>
      <c r="K67" s="43">
        <v>7371.8</v>
      </c>
      <c r="L67" s="43">
        <v>6573.9</v>
      </c>
      <c r="M67" s="44">
        <f t="shared" si="0"/>
        <v>-10.823679427005628</v>
      </c>
    </row>
    <row r="68" spans="1:13" s="8" customFormat="1">
      <c r="A68" s="34" t="s">
        <v>73</v>
      </c>
      <c r="B68" s="49">
        <v>366</v>
      </c>
      <c r="C68" s="49">
        <f>4865.3/10</f>
        <v>486.53000000000003</v>
      </c>
      <c r="D68" s="49">
        <v>442.67</v>
      </c>
      <c r="E68" s="49">
        <v>394</v>
      </c>
      <c r="F68" s="49">
        <v>608</v>
      </c>
      <c r="G68" s="66">
        <v>951</v>
      </c>
      <c r="H68" s="66">
        <v>1024</v>
      </c>
      <c r="I68" s="66">
        <v>1690</v>
      </c>
      <c r="J68" s="49">
        <v>1897.02</v>
      </c>
      <c r="K68" s="49">
        <v>2540.9</v>
      </c>
      <c r="L68" s="49">
        <v>2995.9</v>
      </c>
      <c r="M68" s="48">
        <f t="shared" si="0"/>
        <v>17.907040812310605</v>
      </c>
    </row>
    <row r="69" spans="1:13" s="8" customFormat="1">
      <c r="A69" s="34" t="s">
        <v>74</v>
      </c>
      <c r="B69" s="43">
        <v>68</v>
      </c>
      <c r="C69" s="43">
        <f>1045.7/10</f>
        <v>104.57000000000001</v>
      </c>
      <c r="D69" s="43">
        <v>94.28</v>
      </c>
      <c r="E69" s="43">
        <v>64</v>
      </c>
      <c r="F69" s="43">
        <v>104</v>
      </c>
      <c r="G69" s="51">
        <v>98</v>
      </c>
      <c r="H69" s="51">
        <v>81</v>
      </c>
      <c r="I69" s="51">
        <v>147</v>
      </c>
      <c r="J69" s="43">
        <v>167</v>
      </c>
      <c r="K69" s="43">
        <v>190.9</v>
      </c>
      <c r="L69" s="43">
        <v>151.30000000000001</v>
      </c>
      <c r="M69" s="44">
        <f t="shared" si="0"/>
        <v>-20.743844944997381</v>
      </c>
    </row>
    <row r="70" spans="1:13" s="8" customFormat="1">
      <c r="A70" s="34" t="s">
        <v>75</v>
      </c>
      <c r="B70" s="49">
        <v>133</v>
      </c>
      <c r="C70" s="49">
        <f>1350.6/10</f>
        <v>135.06</v>
      </c>
      <c r="D70" s="49">
        <v>215.2</v>
      </c>
      <c r="E70" s="49">
        <v>175</v>
      </c>
      <c r="F70" s="49">
        <v>238</v>
      </c>
      <c r="G70" s="66">
        <v>175</v>
      </c>
      <c r="H70" s="66">
        <v>162</v>
      </c>
      <c r="I70" s="66">
        <v>123</v>
      </c>
      <c r="J70" s="49">
        <v>242.6</v>
      </c>
      <c r="K70" s="49">
        <v>180.1</v>
      </c>
      <c r="L70" s="49">
        <v>128.5</v>
      </c>
      <c r="M70" s="48">
        <f t="shared" si="0"/>
        <v>-28.650749583564682</v>
      </c>
    </row>
    <row r="71" spans="1:13" s="8" customFormat="1">
      <c r="A71" s="34" t="s">
        <v>76</v>
      </c>
      <c r="B71" s="43">
        <v>3</v>
      </c>
      <c r="C71" s="43">
        <f>7.9/10</f>
        <v>0.79</v>
      </c>
      <c r="D71" s="43">
        <v>2.4900000000000002</v>
      </c>
      <c r="E71" s="43">
        <v>1.2</v>
      </c>
      <c r="F71" s="44">
        <v>0.2</v>
      </c>
      <c r="G71" s="51">
        <v>0.4</v>
      </c>
      <c r="H71" s="51">
        <v>0</v>
      </c>
      <c r="I71" s="51">
        <v>1</v>
      </c>
      <c r="J71" s="43">
        <v>0.6</v>
      </c>
      <c r="K71" s="43">
        <v>0.6</v>
      </c>
      <c r="L71" s="43">
        <v>1.7</v>
      </c>
      <c r="M71" s="44">
        <f t="shared" si="0"/>
        <v>183.33333333333334</v>
      </c>
    </row>
    <row r="72" spans="1:13" s="8" customFormat="1">
      <c r="A72" s="34" t="s">
        <v>19</v>
      </c>
      <c r="B72" s="49">
        <v>233</v>
      </c>
      <c r="C72" s="49">
        <f>4098.2/10</f>
        <v>409.82</v>
      </c>
      <c r="D72" s="49">
        <v>745.15</v>
      </c>
      <c r="E72" s="49">
        <v>730</v>
      </c>
      <c r="F72" s="49">
        <v>883</v>
      </c>
      <c r="G72" s="66">
        <v>1271</v>
      </c>
      <c r="H72" s="66">
        <v>1218</v>
      </c>
      <c r="I72" s="66">
        <v>1958</v>
      </c>
      <c r="J72" s="49">
        <v>2268.3000000000002</v>
      </c>
      <c r="K72" s="49">
        <v>3094.1</v>
      </c>
      <c r="L72" s="49">
        <v>3642.2</v>
      </c>
      <c r="M72" s="48">
        <f t="shared" si="0"/>
        <v>17.714359587602214</v>
      </c>
    </row>
    <row r="73" spans="1:13" s="8" customFormat="1">
      <c r="A73" s="34" t="s">
        <v>77</v>
      </c>
      <c r="B73" s="43">
        <v>38</v>
      </c>
      <c r="C73" s="43">
        <f>380.3/10</f>
        <v>38.03</v>
      </c>
      <c r="D73" s="43">
        <v>35.86</v>
      </c>
      <c r="E73" s="43">
        <v>44</v>
      </c>
      <c r="F73" s="43">
        <v>66</v>
      </c>
      <c r="G73" s="51">
        <v>98</v>
      </c>
      <c r="H73" s="51">
        <v>80</v>
      </c>
      <c r="I73" s="51">
        <v>54</v>
      </c>
      <c r="J73" s="43">
        <v>36.200000000000003</v>
      </c>
      <c r="K73" s="43">
        <v>40.9</v>
      </c>
      <c r="L73" s="43">
        <v>9.9</v>
      </c>
      <c r="M73" s="44">
        <f t="shared" ref="M73:M137" si="1">(L73/K73-1)*100</f>
        <v>-75.794621026894873</v>
      </c>
    </row>
    <row r="74" spans="1:13" s="8" customFormat="1">
      <c r="A74" s="34" t="s">
        <v>78</v>
      </c>
      <c r="B74" s="49">
        <v>68</v>
      </c>
      <c r="C74" s="49">
        <f>803.5/10</f>
        <v>80.349999999999994</v>
      </c>
      <c r="D74" s="49">
        <v>122.55</v>
      </c>
      <c r="E74" s="49">
        <v>154</v>
      </c>
      <c r="F74" s="49">
        <v>177</v>
      </c>
      <c r="G74" s="66">
        <v>250</v>
      </c>
      <c r="H74" s="66">
        <v>200</v>
      </c>
      <c r="I74" s="66">
        <v>232</v>
      </c>
      <c r="J74" s="49">
        <v>315.64</v>
      </c>
      <c r="K74" s="49">
        <v>322.39999999999998</v>
      </c>
      <c r="L74" s="49">
        <v>350.9</v>
      </c>
      <c r="M74" s="48">
        <f t="shared" si="1"/>
        <v>8.8399503722084383</v>
      </c>
    </row>
    <row r="75" spans="1:13" s="8" customFormat="1" ht="27.75" customHeight="1">
      <c r="A75" s="34" t="s">
        <v>20</v>
      </c>
      <c r="B75" s="43">
        <v>1546</v>
      </c>
      <c r="C75" s="43">
        <f>19969.7/10</f>
        <v>1996.97</v>
      </c>
      <c r="D75" s="43">
        <v>1807.69</v>
      </c>
      <c r="E75" s="43">
        <v>1580</v>
      </c>
      <c r="F75" s="43">
        <v>1825</v>
      </c>
      <c r="G75" s="51">
        <v>2032</v>
      </c>
      <c r="H75" s="51">
        <v>1903</v>
      </c>
      <c r="I75" s="51">
        <v>1892</v>
      </c>
      <c r="J75" s="43">
        <v>1668.46</v>
      </c>
      <c r="K75" s="43">
        <v>1892.7</v>
      </c>
      <c r="L75" s="43">
        <v>1750.6</v>
      </c>
      <c r="M75" s="44">
        <f t="shared" si="1"/>
        <v>-7.5077930998045161</v>
      </c>
    </row>
    <row r="76" spans="1:13" s="8" customFormat="1">
      <c r="A76" s="34" t="s">
        <v>79</v>
      </c>
      <c r="B76" s="49">
        <v>10</v>
      </c>
      <c r="C76" s="49">
        <f>119.8/10</f>
        <v>11.98</v>
      </c>
      <c r="D76" s="49">
        <v>12.28</v>
      </c>
      <c r="E76" s="49">
        <v>11</v>
      </c>
      <c r="F76" s="49">
        <v>19</v>
      </c>
      <c r="G76" s="66">
        <v>20</v>
      </c>
      <c r="H76" s="66">
        <v>21</v>
      </c>
      <c r="I76" s="66">
        <v>27</v>
      </c>
      <c r="J76" s="49">
        <v>27.6</v>
      </c>
      <c r="K76" s="49">
        <v>70</v>
      </c>
      <c r="L76" s="49">
        <v>56</v>
      </c>
      <c r="M76" s="48">
        <f t="shared" si="1"/>
        <v>-19.999999999999996</v>
      </c>
    </row>
    <row r="77" spans="1:13" s="8" customFormat="1">
      <c r="A77" s="34" t="s">
        <v>80</v>
      </c>
      <c r="B77" s="43">
        <v>43</v>
      </c>
      <c r="C77" s="43">
        <f>578.8/10</f>
        <v>57.879999999999995</v>
      </c>
      <c r="D77" s="43">
        <v>55.2</v>
      </c>
      <c r="E77" s="43">
        <v>48</v>
      </c>
      <c r="F77" s="43">
        <v>71</v>
      </c>
      <c r="G77" s="51">
        <v>84</v>
      </c>
      <c r="H77" s="51">
        <v>103</v>
      </c>
      <c r="I77" s="51">
        <v>118</v>
      </c>
      <c r="J77" s="43">
        <v>129.61000000000001</v>
      </c>
      <c r="K77" s="43">
        <v>181</v>
      </c>
      <c r="L77" s="43">
        <v>219.4</v>
      </c>
      <c r="M77" s="44">
        <f t="shared" si="1"/>
        <v>21.215469613259664</v>
      </c>
    </row>
    <row r="78" spans="1:13" s="8" customFormat="1">
      <c r="A78" s="34" t="s">
        <v>81</v>
      </c>
      <c r="B78" s="49">
        <v>82</v>
      </c>
      <c r="C78" s="49">
        <f>1256.7/10</f>
        <v>125.67</v>
      </c>
      <c r="D78" s="49">
        <v>154.51</v>
      </c>
      <c r="E78" s="49">
        <v>151</v>
      </c>
      <c r="F78" s="49">
        <v>195</v>
      </c>
      <c r="G78" s="66">
        <v>231</v>
      </c>
      <c r="H78" s="66">
        <v>280</v>
      </c>
      <c r="I78" s="66">
        <v>388</v>
      </c>
      <c r="J78" s="49">
        <v>390.19</v>
      </c>
      <c r="K78" s="49">
        <v>500.9</v>
      </c>
      <c r="L78" s="49">
        <v>567.20000000000005</v>
      </c>
      <c r="M78" s="48">
        <f t="shared" si="1"/>
        <v>13.236174885206653</v>
      </c>
    </row>
    <row r="79" spans="1:13" s="8" customFormat="1">
      <c r="A79" s="34" t="s">
        <v>82</v>
      </c>
      <c r="B79" s="43">
        <v>186</v>
      </c>
      <c r="C79" s="43">
        <f>2207.1/10</f>
        <v>220.70999999999998</v>
      </c>
      <c r="D79" s="43">
        <v>296.66000000000003</v>
      </c>
      <c r="E79" s="43">
        <v>270</v>
      </c>
      <c r="F79" s="43">
        <v>394</v>
      </c>
      <c r="G79" s="51">
        <v>711</v>
      </c>
      <c r="H79" s="51">
        <v>407</v>
      </c>
      <c r="I79" s="51">
        <v>634</v>
      </c>
      <c r="J79" s="43">
        <v>682.2</v>
      </c>
      <c r="K79" s="43">
        <v>592.29999999999995</v>
      </c>
      <c r="L79" s="43">
        <v>617.4</v>
      </c>
      <c r="M79" s="44">
        <f t="shared" si="1"/>
        <v>4.2377173729529094</v>
      </c>
    </row>
    <row r="80" spans="1:13" s="8" customFormat="1" ht="38.25">
      <c r="A80" s="34" t="s">
        <v>83</v>
      </c>
      <c r="B80" s="49">
        <v>115</v>
      </c>
      <c r="C80" s="49">
        <f>2321.6/10</f>
        <v>232.16</v>
      </c>
      <c r="D80" s="49">
        <v>271.32</v>
      </c>
      <c r="E80" s="49">
        <v>277</v>
      </c>
      <c r="F80" s="49">
        <v>292</v>
      </c>
      <c r="G80" s="66">
        <v>341</v>
      </c>
      <c r="H80" s="66">
        <v>269</v>
      </c>
      <c r="I80" s="66">
        <v>348</v>
      </c>
      <c r="J80" s="49">
        <v>406.89</v>
      </c>
      <c r="K80" s="49">
        <v>484.6</v>
      </c>
      <c r="L80" s="49">
        <v>585.20000000000005</v>
      </c>
      <c r="M80" s="48">
        <f t="shared" si="1"/>
        <v>20.759389186958323</v>
      </c>
    </row>
    <row r="81" spans="1:13" s="8" customFormat="1" ht="25.5">
      <c r="A81" s="34" t="s">
        <v>84</v>
      </c>
      <c r="B81" s="43">
        <v>77</v>
      </c>
      <c r="C81" s="43">
        <f>1885.4/10</f>
        <v>188.54000000000002</v>
      </c>
      <c r="D81" s="43">
        <v>212.63</v>
      </c>
      <c r="E81" s="43">
        <v>198</v>
      </c>
      <c r="F81" s="43">
        <v>171</v>
      </c>
      <c r="G81" s="51">
        <v>132</v>
      </c>
      <c r="H81" s="51">
        <v>139</v>
      </c>
      <c r="I81" s="51">
        <v>292</v>
      </c>
      <c r="J81" s="43">
        <v>237.02</v>
      </c>
      <c r="K81" s="43">
        <v>291.60000000000002</v>
      </c>
      <c r="L81" s="43">
        <v>218</v>
      </c>
      <c r="M81" s="44">
        <f t="shared" si="1"/>
        <v>-25.240054869684503</v>
      </c>
    </row>
    <row r="82" spans="1:13" s="8" customFormat="1" ht="26.25" customHeight="1">
      <c r="A82" s="34" t="s">
        <v>85</v>
      </c>
      <c r="B82" s="49">
        <v>11</v>
      </c>
      <c r="C82" s="49">
        <f>218.9/10</f>
        <v>21.89</v>
      </c>
      <c r="D82" s="49">
        <v>51.6</v>
      </c>
      <c r="E82" s="49">
        <v>55</v>
      </c>
      <c r="F82" s="49">
        <v>38</v>
      </c>
      <c r="G82" s="66">
        <v>52</v>
      </c>
      <c r="H82" s="66">
        <v>49</v>
      </c>
      <c r="I82" s="66">
        <v>67</v>
      </c>
      <c r="J82" s="49">
        <v>72.12</v>
      </c>
      <c r="K82" s="49">
        <v>92.5</v>
      </c>
      <c r="L82" s="49">
        <v>121.8</v>
      </c>
      <c r="M82" s="48">
        <f t="shared" si="1"/>
        <v>31.675675675675663</v>
      </c>
    </row>
    <row r="83" spans="1:13" s="8" customFormat="1" ht="28.5" customHeight="1">
      <c r="A83" s="34" t="s">
        <v>86</v>
      </c>
      <c r="B83" s="43">
        <v>90</v>
      </c>
      <c r="C83" s="43">
        <f>1583.4/10</f>
        <v>158.34</v>
      </c>
      <c r="D83" s="43">
        <v>223.58</v>
      </c>
      <c r="E83" s="43">
        <v>265</v>
      </c>
      <c r="F83" s="43">
        <v>317</v>
      </c>
      <c r="G83" s="51">
        <v>451</v>
      </c>
      <c r="H83" s="51">
        <v>513</v>
      </c>
      <c r="I83" s="51">
        <v>686</v>
      </c>
      <c r="J83" s="43">
        <v>811.4</v>
      </c>
      <c r="K83" s="43">
        <v>961.3</v>
      </c>
      <c r="L83" s="43">
        <v>1219.2</v>
      </c>
      <c r="M83" s="44">
        <f t="shared" si="1"/>
        <v>26.828253406844915</v>
      </c>
    </row>
    <row r="84" spans="1:13" s="8" customFormat="1">
      <c r="A84" s="34" t="s">
        <v>87</v>
      </c>
      <c r="B84" s="49">
        <v>68</v>
      </c>
      <c r="C84" s="49">
        <f>1469.3/10</f>
        <v>146.93</v>
      </c>
      <c r="D84" s="49">
        <v>162.87</v>
      </c>
      <c r="E84" s="49">
        <v>164</v>
      </c>
      <c r="F84" s="49">
        <v>198</v>
      </c>
      <c r="G84" s="66">
        <v>283</v>
      </c>
      <c r="H84" s="66">
        <v>294</v>
      </c>
      <c r="I84" s="66">
        <v>423</v>
      </c>
      <c r="J84" s="49">
        <v>476.2</v>
      </c>
      <c r="K84" s="49">
        <v>546.6</v>
      </c>
      <c r="L84" s="49">
        <v>640.29999999999995</v>
      </c>
      <c r="M84" s="48">
        <f t="shared" si="1"/>
        <v>17.14233443102815</v>
      </c>
    </row>
    <row r="85" spans="1:13" s="8" customFormat="1">
      <c r="A85" s="34" t="s">
        <v>88</v>
      </c>
      <c r="B85" s="43">
        <v>12</v>
      </c>
      <c r="C85" s="43">
        <f>206.2/10</f>
        <v>20.619999999999997</v>
      </c>
      <c r="D85" s="43">
        <v>21.57</v>
      </c>
      <c r="E85" s="43">
        <v>22</v>
      </c>
      <c r="F85" s="43">
        <v>32</v>
      </c>
      <c r="G85" s="51">
        <v>41</v>
      </c>
      <c r="H85" s="51">
        <v>43</v>
      </c>
      <c r="I85" s="51">
        <v>53</v>
      </c>
      <c r="J85" s="43">
        <v>64</v>
      </c>
      <c r="K85" s="43">
        <v>75.900000000000006</v>
      </c>
      <c r="L85" s="43">
        <v>90.9</v>
      </c>
      <c r="M85" s="44">
        <f t="shared" si="1"/>
        <v>19.762845849802368</v>
      </c>
    </row>
    <row r="86" spans="1:13" s="8" customFormat="1">
      <c r="A86" s="34" t="s">
        <v>89</v>
      </c>
      <c r="B86" s="49">
        <v>4</v>
      </c>
      <c r="C86" s="49">
        <f>145.6/10</f>
        <v>14.559999999999999</v>
      </c>
      <c r="D86" s="49">
        <v>4.55</v>
      </c>
      <c r="E86" s="49">
        <v>7</v>
      </c>
      <c r="F86" s="49">
        <v>5</v>
      </c>
      <c r="G86" s="66">
        <v>7</v>
      </c>
      <c r="H86" s="66">
        <v>4</v>
      </c>
      <c r="I86" s="66">
        <v>6</v>
      </c>
      <c r="J86" s="49">
        <v>13.9</v>
      </c>
      <c r="K86" s="49">
        <v>7.2</v>
      </c>
      <c r="L86" s="49">
        <v>10.199999999999999</v>
      </c>
      <c r="M86" s="48">
        <f t="shared" si="1"/>
        <v>41.66666666666665</v>
      </c>
    </row>
    <row r="87" spans="1:13" s="8" customFormat="1" ht="41.25" customHeight="1">
      <c r="A87" s="34" t="s">
        <v>90</v>
      </c>
      <c r="B87" s="43">
        <v>372</v>
      </c>
      <c r="C87" s="43">
        <f>4141/10</f>
        <v>414.1</v>
      </c>
      <c r="D87" s="43">
        <v>369.07</v>
      </c>
      <c r="E87" s="43">
        <v>262</v>
      </c>
      <c r="F87" s="43">
        <v>1146</v>
      </c>
      <c r="G87" s="51">
        <v>3037</v>
      </c>
      <c r="H87" s="51">
        <v>3559</v>
      </c>
      <c r="I87" s="51">
        <v>3922</v>
      </c>
      <c r="J87" s="43">
        <v>3520.17</v>
      </c>
      <c r="K87" s="43">
        <v>3474.2</v>
      </c>
      <c r="L87" s="43">
        <v>3334.1</v>
      </c>
      <c r="M87" s="44">
        <f t="shared" si="1"/>
        <v>-4.0325830407000112</v>
      </c>
    </row>
    <row r="88" spans="1:13" s="8" customFormat="1">
      <c r="A88" s="34" t="s">
        <v>91</v>
      </c>
      <c r="B88" s="49">
        <v>2</v>
      </c>
      <c r="C88" s="49">
        <f>77/10</f>
        <v>7.7</v>
      </c>
      <c r="D88" s="49">
        <v>4.3099999999999996</v>
      </c>
      <c r="E88" s="49">
        <v>2</v>
      </c>
      <c r="F88" s="49">
        <v>3</v>
      </c>
      <c r="G88" s="66">
        <v>2</v>
      </c>
      <c r="H88" s="66">
        <v>5</v>
      </c>
      <c r="I88" s="66">
        <v>3</v>
      </c>
      <c r="J88" s="49">
        <v>1.9</v>
      </c>
      <c r="K88" s="49">
        <v>1.6</v>
      </c>
      <c r="L88" s="49">
        <v>2.8</v>
      </c>
      <c r="M88" s="48">
        <f t="shared" si="1"/>
        <v>74.999999999999972</v>
      </c>
    </row>
    <row r="89" spans="1:13" s="8" customFormat="1">
      <c r="A89" s="34" t="s">
        <v>110</v>
      </c>
      <c r="B89" s="43">
        <v>21</v>
      </c>
      <c r="C89" s="43">
        <f>181.4/10</f>
        <v>18.14</v>
      </c>
      <c r="D89" s="43">
        <v>39.93</v>
      </c>
      <c r="E89" s="43">
        <v>43</v>
      </c>
      <c r="F89" s="43">
        <v>39</v>
      </c>
      <c r="G89" s="51">
        <v>41</v>
      </c>
      <c r="H89" s="51">
        <v>32</v>
      </c>
      <c r="I89" s="51">
        <v>44</v>
      </c>
      <c r="J89" s="43">
        <v>55.5</v>
      </c>
      <c r="K89" s="43">
        <v>77.599999999999994</v>
      </c>
      <c r="L89" s="43">
        <v>85.8</v>
      </c>
      <c r="M89" s="44">
        <f t="shared" si="1"/>
        <v>10.567010309278357</v>
      </c>
    </row>
    <row r="90" spans="1:13" s="8" customFormat="1" ht="27" customHeight="1">
      <c r="A90" s="34" t="s">
        <v>92</v>
      </c>
      <c r="B90" s="49">
        <v>16</v>
      </c>
      <c r="C90" s="49">
        <f>311.6/10</f>
        <v>31.160000000000004</v>
      </c>
      <c r="D90" s="49">
        <v>58.67</v>
      </c>
      <c r="E90" s="49">
        <v>59</v>
      </c>
      <c r="F90" s="49">
        <v>57</v>
      </c>
      <c r="G90" s="66">
        <v>93</v>
      </c>
      <c r="H90" s="66">
        <v>96</v>
      </c>
      <c r="I90" s="66">
        <v>184</v>
      </c>
      <c r="J90" s="49">
        <v>229.8</v>
      </c>
      <c r="K90" s="49">
        <v>372</v>
      </c>
      <c r="L90" s="49">
        <v>415</v>
      </c>
      <c r="M90" s="48">
        <f t="shared" si="1"/>
        <v>11.559139784946225</v>
      </c>
    </row>
    <row r="91" spans="1:13" s="8" customFormat="1">
      <c r="A91" s="34" t="s">
        <v>122</v>
      </c>
      <c r="B91" s="43" t="s">
        <v>32</v>
      </c>
      <c r="C91" s="43" t="s">
        <v>32</v>
      </c>
      <c r="D91" s="44">
        <v>1</v>
      </c>
      <c r="E91" s="44">
        <v>0.3</v>
      </c>
      <c r="F91" s="44">
        <v>0.2</v>
      </c>
      <c r="G91" s="51" t="s">
        <v>32</v>
      </c>
      <c r="H91" s="51" t="s">
        <v>32</v>
      </c>
      <c r="I91" s="51" t="s">
        <v>32</v>
      </c>
      <c r="J91" s="43" t="s">
        <v>129</v>
      </c>
      <c r="K91" s="43" t="s">
        <v>129</v>
      </c>
      <c r="L91" s="43"/>
      <c r="M91" s="43" t="s">
        <v>129</v>
      </c>
    </row>
    <row r="92" spans="1:13" s="8" customFormat="1">
      <c r="A92" s="34" t="s">
        <v>93</v>
      </c>
      <c r="B92" s="49">
        <v>1</v>
      </c>
      <c r="C92" s="49">
        <f>62.4/10</f>
        <v>6.24</v>
      </c>
      <c r="D92" s="49">
        <v>12.32</v>
      </c>
      <c r="E92" s="49">
        <v>18</v>
      </c>
      <c r="F92" s="49">
        <v>20</v>
      </c>
      <c r="G92" s="66">
        <v>21</v>
      </c>
      <c r="H92" s="66">
        <v>24</v>
      </c>
      <c r="I92" s="66">
        <v>43</v>
      </c>
      <c r="J92" s="49">
        <v>166.1</v>
      </c>
      <c r="K92" s="49">
        <v>224.6</v>
      </c>
      <c r="L92" s="49">
        <v>316.7</v>
      </c>
      <c r="M92" s="48">
        <f t="shared" si="1"/>
        <v>41.006233303650944</v>
      </c>
    </row>
    <row r="93" spans="1:13" s="8" customFormat="1" ht="27.75" customHeight="1">
      <c r="A93" s="34" t="s">
        <v>94</v>
      </c>
      <c r="B93" s="43">
        <v>26</v>
      </c>
      <c r="C93" s="43">
        <f>853.6/10</f>
        <v>85.36</v>
      </c>
      <c r="D93" s="43">
        <v>134.34</v>
      </c>
      <c r="E93" s="43">
        <v>100</v>
      </c>
      <c r="F93" s="43">
        <v>141</v>
      </c>
      <c r="G93" s="51">
        <v>208</v>
      </c>
      <c r="H93" s="51">
        <v>142</v>
      </c>
      <c r="I93" s="51">
        <v>97</v>
      </c>
      <c r="J93" s="43">
        <v>435.3</v>
      </c>
      <c r="K93" s="43">
        <v>1213.5999999999999</v>
      </c>
      <c r="L93" s="43">
        <v>1297.5999999999999</v>
      </c>
      <c r="M93" s="44">
        <f t="shared" si="1"/>
        <v>6.9215557020435137</v>
      </c>
    </row>
    <row r="94" spans="1:13" s="8" customFormat="1" ht="29.25" customHeight="1">
      <c r="A94" s="34" t="s">
        <v>95</v>
      </c>
      <c r="B94" s="49">
        <v>17</v>
      </c>
      <c r="C94" s="49">
        <f>338.3/10</f>
        <v>33.83</v>
      </c>
      <c r="D94" s="49">
        <v>31.43</v>
      </c>
      <c r="E94" s="49">
        <v>30</v>
      </c>
      <c r="F94" s="49">
        <v>80</v>
      </c>
      <c r="G94" s="66">
        <v>142</v>
      </c>
      <c r="H94" s="66">
        <v>161</v>
      </c>
      <c r="I94" s="66">
        <v>286</v>
      </c>
      <c r="J94" s="49">
        <v>325.3</v>
      </c>
      <c r="K94" s="49">
        <v>398.1</v>
      </c>
      <c r="L94" s="49">
        <v>518.6</v>
      </c>
      <c r="M94" s="48">
        <f t="shared" si="1"/>
        <v>30.268776689274056</v>
      </c>
    </row>
    <row r="95" spans="1:13" s="8" customFormat="1" ht="27" customHeight="1">
      <c r="A95" s="34" t="s">
        <v>21</v>
      </c>
      <c r="B95" s="43">
        <v>137</v>
      </c>
      <c r="C95" s="43">
        <f>3858.5/10</f>
        <v>385.85</v>
      </c>
      <c r="D95" s="43">
        <v>364.42</v>
      </c>
      <c r="E95" s="43">
        <v>505</v>
      </c>
      <c r="F95" s="43">
        <v>693</v>
      </c>
      <c r="G95" s="51">
        <v>1441</v>
      </c>
      <c r="H95" s="51">
        <v>2240</v>
      </c>
      <c r="I95" s="51">
        <v>2633</v>
      </c>
      <c r="J95" s="43">
        <v>2972.64</v>
      </c>
      <c r="K95" s="43">
        <v>3247.3</v>
      </c>
      <c r="L95" s="43">
        <v>3357.8</v>
      </c>
      <c r="M95" s="44">
        <f t="shared" si="1"/>
        <v>3.4028269639392761</v>
      </c>
    </row>
    <row r="96" spans="1:13" s="8" customFormat="1" ht="26.25" customHeight="1">
      <c r="A96" s="34" t="s">
        <v>96</v>
      </c>
      <c r="B96" s="49">
        <v>23</v>
      </c>
      <c r="C96" s="49">
        <f>973.1/10</f>
        <v>97.31</v>
      </c>
      <c r="D96" s="49">
        <v>112.65</v>
      </c>
      <c r="E96" s="49">
        <v>119.21</v>
      </c>
      <c r="F96" s="49">
        <v>135</v>
      </c>
      <c r="G96" s="66">
        <v>155</v>
      </c>
      <c r="H96" s="66">
        <v>78</v>
      </c>
      <c r="I96" s="66">
        <v>54</v>
      </c>
      <c r="J96" s="49">
        <v>57.3</v>
      </c>
      <c r="K96" s="49">
        <v>685.1</v>
      </c>
      <c r="L96" s="49">
        <v>213.3</v>
      </c>
      <c r="M96" s="48">
        <f t="shared" si="1"/>
        <v>-68.865858998686321</v>
      </c>
    </row>
    <row r="97" spans="1:13" s="8" customFormat="1">
      <c r="A97" s="34" t="s">
        <v>22</v>
      </c>
      <c r="B97" s="43">
        <v>352</v>
      </c>
      <c r="C97" s="43">
        <f>22215.1/10</f>
        <v>2221.5099999999998</v>
      </c>
      <c r="D97" s="43">
        <v>1603.12</v>
      </c>
      <c r="E97" s="43">
        <v>1924.12</v>
      </c>
      <c r="F97" s="43">
        <v>2689</v>
      </c>
      <c r="G97" s="51">
        <v>4324</v>
      </c>
      <c r="H97" s="51">
        <v>4368</v>
      </c>
      <c r="I97" s="51">
        <v>7118</v>
      </c>
      <c r="J97" s="43">
        <v>8415</v>
      </c>
      <c r="K97" s="43">
        <v>10596.6</v>
      </c>
      <c r="L97" s="43">
        <v>12501.1</v>
      </c>
      <c r="M97" s="44">
        <f t="shared" si="1"/>
        <v>17.972745975124106</v>
      </c>
    </row>
    <row r="98" spans="1:13" s="8" customFormat="1" ht="39" customHeight="1">
      <c r="A98" s="34" t="s">
        <v>97</v>
      </c>
      <c r="B98" s="49">
        <v>2</v>
      </c>
      <c r="C98" s="49">
        <f>75.3/10</f>
        <v>7.5299999999999994</v>
      </c>
      <c r="D98" s="49">
        <v>8.15</v>
      </c>
      <c r="E98" s="49">
        <v>19.21</v>
      </c>
      <c r="F98" s="49">
        <v>15</v>
      </c>
      <c r="G98" s="66">
        <v>17</v>
      </c>
      <c r="H98" s="66">
        <v>18</v>
      </c>
      <c r="I98" s="66">
        <v>30</v>
      </c>
      <c r="J98" s="49">
        <v>25</v>
      </c>
      <c r="K98" s="49">
        <v>27.8</v>
      </c>
      <c r="L98" s="49">
        <v>25.2</v>
      </c>
      <c r="M98" s="48">
        <f t="shared" si="1"/>
        <v>-9.3525179856115201</v>
      </c>
    </row>
    <row r="99" spans="1:13" s="8" customFormat="1">
      <c r="A99" s="34" t="s">
        <v>98</v>
      </c>
      <c r="B99" s="43">
        <v>1</v>
      </c>
      <c r="C99" s="43">
        <f>61.2/10</f>
        <v>6.12</v>
      </c>
      <c r="D99" s="43">
        <v>15.36</v>
      </c>
      <c r="E99" s="43">
        <v>24.82</v>
      </c>
      <c r="F99" s="43">
        <v>24</v>
      </c>
      <c r="G99" s="51">
        <v>33</v>
      </c>
      <c r="H99" s="51">
        <v>28</v>
      </c>
      <c r="I99" s="51">
        <v>42</v>
      </c>
      <c r="J99" s="43">
        <v>47.67</v>
      </c>
      <c r="K99" s="43">
        <v>65.7</v>
      </c>
      <c r="L99" s="43">
        <v>76.099999999999994</v>
      </c>
      <c r="M99" s="44">
        <f t="shared" si="1"/>
        <v>15.829528158295258</v>
      </c>
    </row>
    <row r="100" spans="1:13" s="8" customFormat="1">
      <c r="A100" s="34" t="s">
        <v>99</v>
      </c>
      <c r="B100" s="49">
        <v>34</v>
      </c>
      <c r="C100" s="49">
        <f>390.5/10</f>
        <v>39.049999999999997</v>
      </c>
      <c r="D100" s="49">
        <v>70.900000000000006</v>
      </c>
      <c r="E100" s="49">
        <v>65.17</v>
      </c>
      <c r="F100" s="49">
        <v>63</v>
      </c>
      <c r="G100" s="66">
        <v>64</v>
      </c>
      <c r="H100" s="66">
        <v>52</v>
      </c>
      <c r="I100" s="66">
        <v>105</v>
      </c>
      <c r="J100" s="49">
        <v>112.6</v>
      </c>
      <c r="K100" s="49">
        <v>110.5</v>
      </c>
      <c r="L100" s="49">
        <v>122.8</v>
      </c>
      <c r="M100" s="48">
        <f t="shared" si="1"/>
        <v>11.131221719457018</v>
      </c>
    </row>
    <row r="101" spans="1:13" s="8" customFormat="1">
      <c r="A101" s="34" t="s">
        <v>100</v>
      </c>
      <c r="B101" s="43">
        <v>1</v>
      </c>
      <c r="C101" s="43">
        <f>72.3/10</f>
        <v>7.2299999999999995</v>
      </c>
      <c r="D101" s="43">
        <v>45.4</v>
      </c>
      <c r="E101" s="43">
        <v>75.83</v>
      </c>
      <c r="F101" s="43">
        <v>59</v>
      </c>
      <c r="G101" s="51">
        <v>75</v>
      </c>
      <c r="H101" s="51">
        <v>-107</v>
      </c>
      <c r="I101" s="51">
        <v>-77</v>
      </c>
      <c r="J101" s="43">
        <v>17.899999999999999</v>
      </c>
      <c r="K101" s="43">
        <v>294.5</v>
      </c>
      <c r="L101" s="43">
        <v>326.39999999999998</v>
      </c>
      <c r="M101" s="44">
        <f t="shared" si="1"/>
        <v>10.831918505942273</v>
      </c>
    </row>
    <row r="102" spans="1:13" s="8" customFormat="1">
      <c r="A102" s="34" t="s">
        <v>101</v>
      </c>
      <c r="B102" s="49">
        <v>5</v>
      </c>
      <c r="C102" s="49">
        <f>43.1/10</f>
        <v>4.3100000000000005</v>
      </c>
      <c r="D102" s="49">
        <v>0.81</v>
      </c>
      <c r="E102" s="49">
        <v>1.46</v>
      </c>
      <c r="F102" s="49">
        <v>2</v>
      </c>
      <c r="G102" s="66">
        <v>1</v>
      </c>
      <c r="H102" s="66">
        <v>3</v>
      </c>
      <c r="I102" s="66">
        <v>3</v>
      </c>
      <c r="J102" s="49">
        <v>2.65</v>
      </c>
      <c r="K102" s="49">
        <v>1.9</v>
      </c>
      <c r="L102" s="49">
        <v>4.2</v>
      </c>
      <c r="M102" s="48">
        <f t="shared" si="1"/>
        <v>121.05263157894738</v>
      </c>
    </row>
    <row r="103" spans="1:13" s="8" customFormat="1" ht="30" customHeight="1">
      <c r="A103" s="34" t="s">
        <v>23</v>
      </c>
      <c r="B103" s="43">
        <v>353</v>
      </c>
      <c r="C103" s="43">
        <f>6540.1/10</f>
        <v>654.01</v>
      </c>
      <c r="D103" s="43">
        <v>716.67</v>
      </c>
      <c r="E103" s="43">
        <v>432.22</v>
      </c>
      <c r="F103" s="43">
        <v>437</v>
      </c>
      <c r="G103" s="51">
        <v>719</v>
      </c>
      <c r="H103" s="51">
        <v>895</v>
      </c>
      <c r="I103" s="51">
        <v>1330</v>
      </c>
      <c r="J103" s="43">
        <v>1618.2</v>
      </c>
      <c r="K103" s="43">
        <v>16334</v>
      </c>
      <c r="L103" s="43">
        <v>3323</v>
      </c>
      <c r="M103" s="44">
        <f t="shared" si="1"/>
        <v>-79.655932410922006</v>
      </c>
    </row>
    <row r="104" spans="1:13" s="8" customFormat="1" ht="18.75" customHeight="1">
      <c r="A104" s="34" t="s">
        <v>102</v>
      </c>
      <c r="B104" s="49" t="s">
        <v>32</v>
      </c>
      <c r="C104" s="49" t="s">
        <v>32</v>
      </c>
      <c r="D104" s="49" t="s">
        <v>32</v>
      </c>
      <c r="E104" s="49" t="s">
        <v>32</v>
      </c>
      <c r="F104" s="48">
        <v>0.4</v>
      </c>
      <c r="G104" s="66">
        <v>7.9</v>
      </c>
      <c r="H104" s="66">
        <v>-39</v>
      </c>
      <c r="I104" s="66">
        <v>-82</v>
      </c>
      <c r="J104" s="49">
        <v>-261.44</v>
      </c>
      <c r="K104" s="49">
        <v>-214.9</v>
      </c>
      <c r="L104" s="49">
        <v>-195.2</v>
      </c>
      <c r="M104" s="48">
        <f t="shared" si="1"/>
        <v>-9.1670544439274142</v>
      </c>
    </row>
    <row r="105" spans="1:13" s="8" customFormat="1">
      <c r="A105" s="34" t="s">
        <v>103</v>
      </c>
      <c r="B105" s="43" t="s">
        <v>32</v>
      </c>
      <c r="C105" s="43" t="s">
        <v>32</v>
      </c>
      <c r="D105" s="43" t="s">
        <v>32</v>
      </c>
      <c r="E105" s="43" t="s">
        <v>32</v>
      </c>
      <c r="F105" s="43">
        <v>3902</v>
      </c>
      <c r="G105" s="51">
        <v>5401</v>
      </c>
      <c r="H105" s="51">
        <v>5152</v>
      </c>
      <c r="I105" s="51">
        <v>8650</v>
      </c>
      <c r="J105" s="43">
        <v>9737.5</v>
      </c>
      <c r="K105" s="43">
        <v>12584.5</v>
      </c>
      <c r="L105" s="43">
        <v>11940.9</v>
      </c>
      <c r="M105" s="44">
        <f t="shared" si="1"/>
        <v>-5.1142278199372226</v>
      </c>
    </row>
    <row r="106" spans="1:13" s="8" customFormat="1">
      <c r="A106" s="34" t="s">
        <v>24</v>
      </c>
      <c r="B106" s="49" t="s">
        <v>32</v>
      </c>
      <c r="C106" s="49">
        <f>2248.2/10</f>
        <v>224.82</v>
      </c>
      <c r="D106" s="49">
        <v>822.65</v>
      </c>
      <c r="E106" s="49">
        <v>1048.6199999999999</v>
      </c>
      <c r="F106" s="49">
        <v>1632</v>
      </c>
      <c r="G106" s="66">
        <v>1856</v>
      </c>
      <c r="H106" s="66">
        <v>1640</v>
      </c>
      <c r="I106" s="66">
        <v>2759</v>
      </c>
      <c r="J106" s="49">
        <v>3074.78</v>
      </c>
      <c r="K106" s="49">
        <v>3231.8</v>
      </c>
      <c r="L106" s="49">
        <v>3220</v>
      </c>
      <c r="M106" s="48">
        <f t="shared" si="1"/>
        <v>-0.36512160405965943</v>
      </c>
    </row>
    <row r="107" spans="1:13" s="11" customFormat="1" ht="27" customHeight="1">
      <c r="A107" s="34" t="s">
        <v>111</v>
      </c>
      <c r="B107" s="43" t="s">
        <v>32</v>
      </c>
      <c r="C107" s="43">
        <f>9347.4/10</f>
        <v>934.74</v>
      </c>
      <c r="D107" s="43">
        <v>2574.3200000000002</v>
      </c>
      <c r="E107" s="43">
        <v>1957.17</v>
      </c>
      <c r="F107" s="43">
        <v>2829</v>
      </c>
      <c r="G107" s="51">
        <v>4277</v>
      </c>
      <c r="H107" s="51">
        <v>4774</v>
      </c>
      <c r="I107" s="51">
        <v>6795</v>
      </c>
      <c r="J107" s="43">
        <v>7492.93</v>
      </c>
      <c r="K107" s="43">
        <v>8570.6</v>
      </c>
      <c r="L107" s="43">
        <v>11170.6</v>
      </c>
      <c r="M107" s="44">
        <f t="shared" si="1"/>
        <v>30.336265839031107</v>
      </c>
    </row>
    <row r="108" spans="1:13">
      <c r="A108" s="34" t="s">
        <v>25</v>
      </c>
      <c r="B108" s="49" t="s">
        <v>32</v>
      </c>
      <c r="C108" s="49">
        <f>2261.4/10</f>
        <v>226.14000000000001</v>
      </c>
      <c r="D108" s="49">
        <v>1305.51</v>
      </c>
      <c r="E108" s="49">
        <v>1809.67</v>
      </c>
      <c r="F108" s="49">
        <v>3092</v>
      </c>
      <c r="G108" s="67">
        <v>4141</v>
      </c>
      <c r="H108" s="67">
        <v>4455</v>
      </c>
      <c r="I108" s="67">
        <v>7434</v>
      </c>
      <c r="J108" s="68">
        <v>8138.82</v>
      </c>
      <c r="K108" s="68">
        <v>11433.4</v>
      </c>
      <c r="L108" s="68">
        <v>12277</v>
      </c>
      <c r="M108" s="48">
        <f t="shared" si="1"/>
        <v>7.3783826333374103</v>
      </c>
    </row>
    <row r="109" spans="1:13" ht="27.75" customHeight="1">
      <c r="A109" s="34" t="s">
        <v>104</v>
      </c>
      <c r="B109" s="43" t="s">
        <v>32</v>
      </c>
      <c r="C109" s="43">
        <f>74.9/10</f>
        <v>7.49</v>
      </c>
      <c r="D109" s="43">
        <v>26.17</v>
      </c>
      <c r="E109" s="43">
        <v>40.83</v>
      </c>
      <c r="F109" s="43">
        <v>55</v>
      </c>
      <c r="G109" s="51">
        <v>96</v>
      </c>
      <c r="H109" s="51">
        <v>68</v>
      </c>
      <c r="I109" s="51">
        <v>102</v>
      </c>
      <c r="J109" s="43">
        <v>123.1</v>
      </c>
      <c r="K109" s="43">
        <v>155.30000000000001</v>
      </c>
      <c r="L109" s="43">
        <v>133.80000000000001</v>
      </c>
      <c r="M109" s="44">
        <f t="shared" si="1"/>
        <v>-13.844172569220859</v>
      </c>
    </row>
    <row r="110" spans="1:13" ht="29.25" customHeight="1">
      <c r="A110" s="34" t="s">
        <v>105</v>
      </c>
      <c r="B110" s="49" t="s">
        <v>32</v>
      </c>
      <c r="C110" s="49" t="s">
        <v>30</v>
      </c>
      <c r="D110" s="49">
        <v>1.33</v>
      </c>
      <c r="E110" s="49">
        <v>4.1900000000000004</v>
      </c>
      <c r="F110" s="49">
        <v>6</v>
      </c>
      <c r="G110" s="66">
        <v>8</v>
      </c>
      <c r="H110" s="66">
        <v>13</v>
      </c>
      <c r="I110" s="66">
        <v>17</v>
      </c>
      <c r="J110" s="49">
        <v>29.1</v>
      </c>
      <c r="K110" s="49">
        <v>43.2</v>
      </c>
      <c r="L110" s="49">
        <v>72.2</v>
      </c>
      <c r="M110" s="48">
        <f t="shared" si="1"/>
        <v>67.129629629629633</v>
      </c>
    </row>
    <row r="111" spans="1:13">
      <c r="A111" s="34" t="s">
        <v>106</v>
      </c>
      <c r="B111" s="43" t="s">
        <v>32</v>
      </c>
      <c r="C111" s="43">
        <f>40.9/10</f>
        <v>4.09</v>
      </c>
      <c r="D111" s="43">
        <v>27.31</v>
      </c>
      <c r="E111" s="43">
        <v>29.56</v>
      </c>
      <c r="F111" s="43">
        <v>43</v>
      </c>
      <c r="G111" s="52">
        <v>71</v>
      </c>
      <c r="H111" s="52">
        <v>81</v>
      </c>
      <c r="I111" s="52">
        <v>105</v>
      </c>
      <c r="J111" s="53">
        <v>116.9</v>
      </c>
      <c r="K111" s="53">
        <v>162.19999999999999</v>
      </c>
      <c r="L111" s="53">
        <v>204.1</v>
      </c>
      <c r="M111" s="44">
        <f t="shared" si="1"/>
        <v>25.832305795314436</v>
      </c>
    </row>
    <row r="112" spans="1:13">
      <c r="A112" s="34" t="s">
        <v>107</v>
      </c>
      <c r="B112" s="49">
        <v>728</v>
      </c>
      <c r="C112" s="49">
        <f>12576.4/10</f>
        <v>1257.6399999999999</v>
      </c>
      <c r="D112" s="49">
        <v>1760.73</v>
      </c>
      <c r="E112" s="49">
        <v>1594.74</v>
      </c>
      <c r="F112" s="49">
        <v>1941</v>
      </c>
      <c r="G112" s="67">
        <v>2619</v>
      </c>
      <c r="H112" s="67">
        <v>4025</v>
      </c>
      <c r="I112" s="67">
        <v>4319</v>
      </c>
      <c r="J112" s="68">
        <v>4720.6000000000004</v>
      </c>
      <c r="K112" s="68">
        <v>1263.5</v>
      </c>
      <c r="L112" s="68">
        <v>114.3</v>
      </c>
      <c r="M112" s="48">
        <f t="shared" si="1"/>
        <v>-90.95370003957261</v>
      </c>
    </row>
    <row r="113" spans="1:13">
      <c r="A113" s="34" t="s">
        <v>108</v>
      </c>
      <c r="B113" s="43">
        <v>12</v>
      </c>
      <c r="C113" s="43">
        <f>7315.9000000002/10</f>
        <v>731.59000000001993</v>
      </c>
      <c r="D113" s="43">
        <v>58.68</v>
      </c>
      <c r="E113" s="43">
        <v>53.02</v>
      </c>
      <c r="F113" s="44">
        <v>0</v>
      </c>
      <c r="G113" s="52">
        <v>2.1</v>
      </c>
      <c r="H113" s="52">
        <v>-0.03</v>
      </c>
      <c r="I113" s="54">
        <v>0</v>
      </c>
      <c r="J113" s="53">
        <v>0.25</v>
      </c>
      <c r="K113" s="53">
        <v>0</v>
      </c>
      <c r="L113" s="53">
        <v>0.1</v>
      </c>
      <c r="M113" s="44"/>
    </row>
    <row r="114" spans="1:13">
      <c r="A114" s="35" t="s">
        <v>137</v>
      </c>
      <c r="B114" s="55"/>
      <c r="C114" s="55"/>
      <c r="D114" s="55"/>
      <c r="E114" s="55"/>
      <c r="F114" s="56"/>
      <c r="G114" s="20"/>
      <c r="H114" s="20"/>
      <c r="I114" s="57"/>
      <c r="J114" s="58"/>
      <c r="K114" s="58">
        <v>3903.4</v>
      </c>
      <c r="L114" s="58">
        <v>12309</v>
      </c>
      <c r="M114" s="48">
        <f t="shared" si="1"/>
        <v>215.34047240866934</v>
      </c>
    </row>
    <row r="115" spans="1:13">
      <c r="A115" s="35" t="s">
        <v>138</v>
      </c>
      <c r="B115" s="59"/>
      <c r="C115" s="59"/>
      <c r="D115" s="59"/>
      <c r="E115" s="59"/>
      <c r="F115" s="60"/>
      <c r="G115" s="21"/>
      <c r="H115" s="21"/>
      <c r="I115" s="61"/>
      <c r="J115" s="62"/>
      <c r="K115" s="62"/>
      <c r="L115" s="62">
        <v>7565.7</v>
      </c>
      <c r="M115" s="44"/>
    </row>
    <row r="116" spans="1:13">
      <c r="A116" s="34" t="s">
        <v>109</v>
      </c>
      <c r="B116" s="49" t="s">
        <v>30</v>
      </c>
      <c r="C116" s="49" t="s">
        <v>30</v>
      </c>
      <c r="D116" s="49">
        <v>1447.63</v>
      </c>
      <c r="E116" s="49">
        <v>2869.84</v>
      </c>
      <c r="F116" s="49" t="s">
        <v>32</v>
      </c>
      <c r="G116" s="67" t="s">
        <v>32</v>
      </c>
      <c r="H116" s="67" t="s">
        <v>32</v>
      </c>
      <c r="I116" s="67" t="s">
        <v>32</v>
      </c>
      <c r="J116" s="68" t="s">
        <v>32</v>
      </c>
      <c r="K116" s="68" t="s">
        <v>32</v>
      </c>
      <c r="L116" s="68" t="s">
        <v>32</v>
      </c>
      <c r="M116" s="68" t="s">
        <v>32</v>
      </c>
    </row>
    <row r="117" spans="1:13">
      <c r="A117" s="34" t="s">
        <v>117</v>
      </c>
      <c r="B117" s="43" t="s">
        <v>30</v>
      </c>
      <c r="C117" s="43" t="s">
        <v>30</v>
      </c>
      <c r="D117" s="43" t="s">
        <v>30</v>
      </c>
      <c r="E117" s="43">
        <v>129.02000000000001</v>
      </c>
      <c r="F117" s="43">
        <v>467.5</v>
      </c>
      <c r="G117" s="52">
        <v>519</v>
      </c>
      <c r="H117" s="52" t="s">
        <v>32</v>
      </c>
      <c r="I117" s="52" t="s">
        <v>32</v>
      </c>
      <c r="J117" s="53" t="s">
        <v>129</v>
      </c>
      <c r="K117" s="53" t="s">
        <v>32</v>
      </c>
      <c r="L117" s="53" t="s">
        <v>32</v>
      </c>
      <c r="M117" s="53" t="s">
        <v>32</v>
      </c>
    </row>
    <row r="118" spans="1:13">
      <c r="A118" s="36" t="s">
        <v>115</v>
      </c>
      <c r="B118" s="49" t="s">
        <v>32</v>
      </c>
      <c r="C118" s="49" t="s">
        <v>32</v>
      </c>
      <c r="D118" s="49" t="s">
        <v>32</v>
      </c>
      <c r="E118" s="49" t="s">
        <v>32</v>
      </c>
      <c r="F118" s="49">
        <v>294</v>
      </c>
      <c r="G118" s="67">
        <v>693</v>
      </c>
      <c r="H118" s="67" t="s">
        <v>32</v>
      </c>
      <c r="I118" s="67" t="s">
        <v>32</v>
      </c>
      <c r="J118" s="68" t="s">
        <v>130</v>
      </c>
      <c r="K118" s="68" t="s">
        <v>139</v>
      </c>
      <c r="L118" s="68" t="s">
        <v>139</v>
      </c>
      <c r="M118" s="68" t="s">
        <v>139</v>
      </c>
    </row>
    <row r="119" spans="1:13">
      <c r="A119" s="37" t="s">
        <v>116</v>
      </c>
      <c r="B119" s="43" t="s">
        <v>32</v>
      </c>
      <c r="C119" s="43" t="s">
        <v>32</v>
      </c>
      <c r="D119" s="43" t="s">
        <v>32</v>
      </c>
      <c r="E119" s="43" t="s">
        <v>32</v>
      </c>
      <c r="F119" s="44">
        <v>0</v>
      </c>
      <c r="G119" s="52">
        <v>909.2</v>
      </c>
      <c r="H119" s="52" t="s">
        <v>32</v>
      </c>
      <c r="I119" s="52" t="s">
        <v>32</v>
      </c>
      <c r="J119" s="53" t="s">
        <v>130</v>
      </c>
      <c r="K119" s="53" t="s">
        <v>139</v>
      </c>
      <c r="L119" s="53" t="s">
        <v>139</v>
      </c>
      <c r="M119" s="53" t="s">
        <v>139</v>
      </c>
    </row>
    <row r="120" spans="1:13" ht="33" customHeight="1">
      <c r="A120" s="38" t="s">
        <v>123</v>
      </c>
      <c r="B120" s="49" t="s">
        <v>32</v>
      </c>
      <c r="C120" s="49" t="s">
        <v>32</v>
      </c>
      <c r="D120" s="49" t="s">
        <v>32</v>
      </c>
      <c r="E120" s="49" t="s">
        <v>32</v>
      </c>
      <c r="F120" s="48" t="s">
        <v>32</v>
      </c>
      <c r="G120" s="66" t="s">
        <v>32</v>
      </c>
      <c r="H120" s="67">
        <v>2409</v>
      </c>
      <c r="I120" s="67">
        <v>4343</v>
      </c>
      <c r="J120" s="68">
        <v>4776.8999999999996</v>
      </c>
      <c r="K120" s="68">
        <v>6101.4</v>
      </c>
      <c r="L120" s="68">
        <v>7816.1</v>
      </c>
      <c r="M120" s="48">
        <f t="shared" si="1"/>
        <v>28.103386108106342</v>
      </c>
    </row>
    <row r="121" spans="1:13" ht="47.25" customHeight="1">
      <c r="A121" s="38" t="s">
        <v>124</v>
      </c>
      <c r="B121" s="43" t="s">
        <v>32</v>
      </c>
      <c r="C121" s="43" t="s">
        <v>32</v>
      </c>
      <c r="D121" s="43" t="s">
        <v>32</v>
      </c>
      <c r="E121" s="43" t="s">
        <v>32</v>
      </c>
      <c r="F121" s="44" t="s">
        <v>32</v>
      </c>
      <c r="G121" s="51" t="s">
        <v>32</v>
      </c>
      <c r="H121" s="52">
        <v>52</v>
      </c>
      <c r="I121" s="52">
        <v>81</v>
      </c>
      <c r="J121" s="53">
        <v>98.5</v>
      </c>
      <c r="K121" s="53">
        <v>142.69999999999999</v>
      </c>
      <c r="L121" s="53">
        <v>184.3</v>
      </c>
      <c r="M121" s="44">
        <f t="shared" si="1"/>
        <v>29.152067274001414</v>
      </c>
    </row>
    <row r="122" spans="1:13" ht="31.5" customHeight="1">
      <c r="A122" s="38" t="s">
        <v>125</v>
      </c>
      <c r="B122" s="49" t="s">
        <v>32</v>
      </c>
      <c r="C122" s="49" t="s">
        <v>32</v>
      </c>
      <c r="D122" s="49" t="s">
        <v>32</v>
      </c>
      <c r="E122" s="49" t="s">
        <v>32</v>
      </c>
      <c r="F122" s="48" t="s">
        <v>32</v>
      </c>
      <c r="G122" s="66" t="s">
        <v>32</v>
      </c>
      <c r="H122" s="67">
        <v>44</v>
      </c>
      <c r="I122" s="67">
        <v>38</v>
      </c>
      <c r="J122" s="68">
        <v>24.6</v>
      </c>
      <c r="K122" s="68">
        <v>38.5</v>
      </c>
      <c r="L122" s="68">
        <v>36.799999999999997</v>
      </c>
      <c r="M122" s="48">
        <f t="shared" si="1"/>
        <v>-4.4155844155844282</v>
      </c>
    </row>
    <row r="123" spans="1:13" ht="34.5" customHeight="1">
      <c r="A123" s="38" t="s">
        <v>140</v>
      </c>
      <c r="B123" s="43" t="s">
        <v>32</v>
      </c>
      <c r="C123" s="43" t="s">
        <v>32</v>
      </c>
      <c r="D123" s="43" t="s">
        <v>32</v>
      </c>
      <c r="E123" s="43" t="s">
        <v>32</v>
      </c>
      <c r="F123" s="44" t="s">
        <v>32</v>
      </c>
      <c r="G123" s="51" t="s">
        <v>32</v>
      </c>
      <c r="H123" s="52">
        <v>22</v>
      </c>
      <c r="I123" s="52">
        <v>42</v>
      </c>
      <c r="J123" s="53">
        <v>50.15</v>
      </c>
      <c r="K123" s="53">
        <v>48</v>
      </c>
      <c r="L123" s="53">
        <v>66.900000000000006</v>
      </c>
      <c r="M123" s="44">
        <f t="shared" si="1"/>
        <v>39.375000000000007</v>
      </c>
    </row>
    <row r="124" spans="1:13" ht="30.75" customHeight="1">
      <c r="A124" s="38" t="s">
        <v>126</v>
      </c>
      <c r="B124" s="5" t="s">
        <v>32</v>
      </c>
      <c r="C124" s="5" t="s">
        <v>32</v>
      </c>
      <c r="D124" s="5" t="s">
        <v>32</v>
      </c>
      <c r="E124" s="5" t="s">
        <v>32</v>
      </c>
      <c r="F124" s="9" t="s">
        <v>32</v>
      </c>
      <c r="G124" s="10" t="s">
        <v>32</v>
      </c>
      <c r="H124" s="12">
        <v>231</v>
      </c>
      <c r="I124" s="12">
        <v>340</v>
      </c>
      <c r="J124" s="13">
        <v>343.3</v>
      </c>
      <c r="K124" s="13">
        <v>242.4</v>
      </c>
      <c r="L124" s="13">
        <v>322</v>
      </c>
      <c r="M124" s="6">
        <f t="shared" si="1"/>
        <v>32.838283828382828</v>
      </c>
    </row>
    <row r="125" spans="1:13" ht="35.25" customHeight="1">
      <c r="A125" s="38" t="s">
        <v>127</v>
      </c>
      <c r="B125" s="43" t="s">
        <v>32</v>
      </c>
      <c r="C125" s="43" t="s">
        <v>32</v>
      </c>
      <c r="D125" s="43" t="s">
        <v>32</v>
      </c>
      <c r="E125" s="43" t="s">
        <v>32</v>
      </c>
      <c r="F125" s="44" t="s">
        <v>32</v>
      </c>
      <c r="G125" s="51" t="s">
        <v>32</v>
      </c>
      <c r="H125" s="52">
        <v>1237</v>
      </c>
      <c r="I125" s="52">
        <v>1861</v>
      </c>
      <c r="J125" s="53">
        <v>2146.5659999999998</v>
      </c>
      <c r="K125" s="53">
        <v>2732.2</v>
      </c>
      <c r="L125" s="53">
        <v>2915.7</v>
      </c>
      <c r="M125" s="44">
        <f t="shared" si="1"/>
        <v>6.7161993997511216</v>
      </c>
    </row>
    <row r="126" spans="1:13">
      <c r="A126" s="37" t="s">
        <v>141</v>
      </c>
      <c r="B126" s="49" t="s">
        <v>32</v>
      </c>
      <c r="C126" s="49" t="s">
        <v>32</v>
      </c>
      <c r="D126" s="49" t="s">
        <v>32</v>
      </c>
      <c r="E126" s="49" t="s">
        <v>32</v>
      </c>
      <c r="F126" s="48" t="s">
        <v>32</v>
      </c>
      <c r="G126" s="67" t="s">
        <v>32</v>
      </c>
      <c r="H126" s="67">
        <v>420</v>
      </c>
      <c r="I126" s="67">
        <v>901</v>
      </c>
      <c r="J126" s="68">
        <v>1098.0899999999999</v>
      </c>
      <c r="K126" s="68">
        <v>1476.7</v>
      </c>
      <c r="L126" s="68">
        <v>1693.8</v>
      </c>
      <c r="M126" s="48">
        <f t="shared" si="1"/>
        <v>14.701699735897611</v>
      </c>
    </row>
    <row r="127" spans="1:13">
      <c r="A127" s="38" t="s">
        <v>142</v>
      </c>
      <c r="B127" s="43" t="s">
        <v>32</v>
      </c>
      <c r="C127" s="43" t="s">
        <v>32</v>
      </c>
      <c r="D127" s="43" t="s">
        <v>32</v>
      </c>
      <c r="E127" s="43" t="s">
        <v>32</v>
      </c>
      <c r="F127" s="44" t="s">
        <v>32</v>
      </c>
      <c r="G127" s="51" t="s">
        <v>32</v>
      </c>
      <c r="H127" s="51">
        <v>14</v>
      </c>
      <c r="I127" s="51">
        <v>33</v>
      </c>
      <c r="J127" s="43">
        <v>33.67</v>
      </c>
      <c r="K127" s="43">
        <v>52.6</v>
      </c>
      <c r="L127" s="43">
        <v>53.1</v>
      </c>
      <c r="M127" s="44">
        <f t="shared" si="1"/>
        <v>0.95057034220531467</v>
      </c>
    </row>
    <row r="128" spans="1:13" ht="35.25" customHeight="1">
      <c r="A128" s="38" t="s">
        <v>143</v>
      </c>
      <c r="B128" s="68" t="s">
        <v>32</v>
      </c>
      <c r="C128" s="68" t="s">
        <v>32</v>
      </c>
      <c r="D128" s="68" t="s">
        <v>32</v>
      </c>
      <c r="E128" s="68" t="s">
        <v>32</v>
      </c>
      <c r="F128" s="69" t="s">
        <v>32</v>
      </c>
      <c r="G128" s="67" t="s">
        <v>32</v>
      </c>
      <c r="H128" s="67">
        <v>74</v>
      </c>
      <c r="I128" s="67">
        <v>96</v>
      </c>
      <c r="J128" s="68">
        <v>125.4</v>
      </c>
      <c r="K128" s="68">
        <v>197.7</v>
      </c>
      <c r="L128" s="68">
        <v>203.4</v>
      </c>
      <c r="M128" s="48">
        <f t="shared" si="1"/>
        <v>2.8831562974203528</v>
      </c>
    </row>
    <row r="129" spans="1:13" ht="47.25" customHeight="1">
      <c r="A129" s="39" t="s">
        <v>144</v>
      </c>
      <c r="B129" s="43" t="s">
        <v>32</v>
      </c>
      <c r="C129" s="43" t="s">
        <v>32</v>
      </c>
      <c r="D129" s="43" t="s">
        <v>32</v>
      </c>
      <c r="E129" s="43" t="s">
        <v>32</v>
      </c>
      <c r="F129" s="44" t="s">
        <v>32</v>
      </c>
      <c r="G129" s="51" t="s">
        <v>32</v>
      </c>
      <c r="H129" s="51">
        <v>11</v>
      </c>
      <c r="I129" s="51">
        <v>82</v>
      </c>
      <c r="J129" s="43">
        <v>65.3</v>
      </c>
      <c r="K129" s="43">
        <v>58.2</v>
      </c>
      <c r="L129" s="43">
        <v>83</v>
      </c>
      <c r="M129" s="44">
        <f t="shared" si="1"/>
        <v>42.611683848797256</v>
      </c>
    </row>
    <row r="130" spans="1:13">
      <c r="A130" s="38" t="s">
        <v>145</v>
      </c>
      <c r="B130" s="49" t="s">
        <v>32</v>
      </c>
      <c r="C130" s="49" t="s">
        <v>32</v>
      </c>
      <c r="D130" s="49" t="s">
        <v>32</v>
      </c>
      <c r="E130" s="49" t="s">
        <v>32</v>
      </c>
      <c r="F130" s="48" t="s">
        <v>32</v>
      </c>
      <c r="G130" s="70" t="s">
        <v>32</v>
      </c>
      <c r="H130" s="66">
        <v>10</v>
      </c>
      <c r="I130" s="66">
        <v>21</v>
      </c>
      <c r="J130" s="49">
        <v>21.56</v>
      </c>
      <c r="K130" s="49">
        <v>30.9</v>
      </c>
      <c r="L130" s="49">
        <v>33.4</v>
      </c>
      <c r="M130" s="48">
        <f t="shared" si="1"/>
        <v>8.0906148867313945</v>
      </c>
    </row>
    <row r="131" spans="1:13" ht="38.25" customHeight="1">
      <c r="A131" s="38" t="s">
        <v>146</v>
      </c>
      <c r="B131" s="43" t="s">
        <v>32</v>
      </c>
      <c r="C131" s="43" t="s">
        <v>32</v>
      </c>
      <c r="D131" s="43" t="s">
        <v>32</v>
      </c>
      <c r="E131" s="43" t="s">
        <v>32</v>
      </c>
      <c r="F131" s="44" t="s">
        <v>32</v>
      </c>
      <c r="G131" s="51" t="s">
        <v>32</v>
      </c>
      <c r="H131" s="51">
        <v>179</v>
      </c>
      <c r="I131" s="51">
        <v>181</v>
      </c>
      <c r="J131" s="43">
        <v>106.07</v>
      </c>
      <c r="K131" s="43">
        <v>99.5</v>
      </c>
      <c r="L131" s="43">
        <v>60.6</v>
      </c>
      <c r="M131" s="44">
        <f t="shared" si="1"/>
        <v>-39.095477386934675</v>
      </c>
    </row>
    <row r="132" spans="1:13" ht="49.5" customHeight="1">
      <c r="A132" s="38" t="s">
        <v>147</v>
      </c>
      <c r="B132" s="49" t="s">
        <v>32</v>
      </c>
      <c r="C132" s="49" t="s">
        <v>32</v>
      </c>
      <c r="D132" s="49" t="s">
        <v>32</v>
      </c>
      <c r="E132" s="49" t="s">
        <v>32</v>
      </c>
      <c r="F132" s="48" t="s">
        <v>32</v>
      </c>
      <c r="G132" s="66" t="s">
        <v>32</v>
      </c>
      <c r="H132" s="66">
        <v>24</v>
      </c>
      <c r="I132" s="66">
        <v>35</v>
      </c>
      <c r="J132" s="49">
        <v>39.83</v>
      </c>
      <c r="K132" s="49">
        <v>60.1</v>
      </c>
      <c r="L132" s="49">
        <v>82.2</v>
      </c>
      <c r="M132" s="48">
        <f t="shared" si="1"/>
        <v>36.772046589018316</v>
      </c>
    </row>
    <row r="133" spans="1:13" ht="34.5" customHeight="1">
      <c r="A133" s="38" t="s">
        <v>148</v>
      </c>
      <c r="B133" s="43" t="s">
        <v>32</v>
      </c>
      <c r="C133" s="43" t="s">
        <v>32</v>
      </c>
      <c r="D133" s="43" t="s">
        <v>32</v>
      </c>
      <c r="E133" s="43" t="s">
        <v>32</v>
      </c>
      <c r="F133" s="44" t="s">
        <v>32</v>
      </c>
      <c r="G133" s="51" t="s">
        <v>32</v>
      </c>
      <c r="H133" s="51">
        <v>0.5</v>
      </c>
      <c r="I133" s="44">
        <v>1</v>
      </c>
      <c r="J133" s="43">
        <v>0.82</v>
      </c>
      <c r="K133" s="43">
        <v>1.5</v>
      </c>
      <c r="L133" s="43">
        <v>1.9</v>
      </c>
      <c r="M133" s="44">
        <f t="shared" si="1"/>
        <v>26.666666666666661</v>
      </c>
    </row>
    <row r="134" spans="1:13" ht="48" customHeight="1">
      <c r="A134" s="38" t="s">
        <v>149</v>
      </c>
      <c r="B134" s="5" t="s">
        <v>32</v>
      </c>
      <c r="C134" s="5" t="s">
        <v>32</v>
      </c>
      <c r="D134" s="5" t="s">
        <v>32</v>
      </c>
      <c r="E134" s="5" t="s">
        <v>32</v>
      </c>
      <c r="F134" s="9" t="s">
        <v>32</v>
      </c>
      <c r="G134" s="10" t="s">
        <v>32</v>
      </c>
      <c r="H134" s="10">
        <v>142</v>
      </c>
      <c r="I134" s="10">
        <v>448</v>
      </c>
      <c r="J134" s="5">
        <v>583.55999999999995</v>
      </c>
      <c r="K134" s="5">
        <v>548.79999999999995</v>
      </c>
      <c r="L134" s="5">
        <v>711</v>
      </c>
      <c r="M134" s="6">
        <f t="shared" si="1"/>
        <v>29.555393586005852</v>
      </c>
    </row>
    <row r="135" spans="1:13" ht="36.75" customHeight="1">
      <c r="A135" s="38" t="s">
        <v>150</v>
      </c>
      <c r="B135" s="43" t="s">
        <v>32</v>
      </c>
      <c r="C135" s="43" t="s">
        <v>32</v>
      </c>
      <c r="D135" s="43" t="s">
        <v>32</v>
      </c>
      <c r="E135" s="43" t="s">
        <v>32</v>
      </c>
      <c r="F135" s="44" t="s">
        <v>32</v>
      </c>
      <c r="G135" s="51" t="s">
        <v>32</v>
      </c>
      <c r="H135" s="51">
        <v>24</v>
      </c>
      <c r="I135" s="51">
        <v>0.3</v>
      </c>
      <c r="J135" s="43">
        <v>1.2</v>
      </c>
      <c r="K135" s="43">
        <v>48.9</v>
      </c>
      <c r="L135" s="43">
        <v>94</v>
      </c>
      <c r="M135" s="44">
        <f t="shared" si="1"/>
        <v>92.229038854805736</v>
      </c>
    </row>
    <row r="136" spans="1:13" ht="48.75" customHeight="1">
      <c r="A136" s="38" t="s">
        <v>151</v>
      </c>
      <c r="B136" s="49" t="s">
        <v>32</v>
      </c>
      <c r="C136" s="49" t="s">
        <v>32</v>
      </c>
      <c r="D136" s="49" t="s">
        <v>32</v>
      </c>
      <c r="E136" s="49" t="s">
        <v>32</v>
      </c>
      <c r="F136" s="48" t="s">
        <v>32</v>
      </c>
      <c r="G136" s="66" t="s">
        <v>32</v>
      </c>
      <c r="H136" s="66">
        <v>355</v>
      </c>
      <c r="I136" s="66">
        <v>928</v>
      </c>
      <c r="J136" s="49">
        <v>1090.31</v>
      </c>
      <c r="K136" s="49">
        <v>1371.7</v>
      </c>
      <c r="L136" s="49">
        <v>1557.4</v>
      </c>
      <c r="M136" s="48">
        <f t="shared" si="1"/>
        <v>13.537945614930379</v>
      </c>
    </row>
    <row r="137" spans="1:13" ht="48.75" customHeight="1">
      <c r="A137" s="38" t="s">
        <v>152</v>
      </c>
      <c r="B137" s="43" t="s">
        <v>32</v>
      </c>
      <c r="C137" s="43" t="s">
        <v>32</v>
      </c>
      <c r="D137" s="43" t="s">
        <v>32</v>
      </c>
      <c r="E137" s="43" t="s">
        <v>32</v>
      </c>
      <c r="F137" s="44" t="s">
        <v>32</v>
      </c>
      <c r="G137" s="51" t="s">
        <v>32</v>
      </c>
      <c r="H137" s="51">
        <v>847</v>
      </c>
      <c r="I137" s="51">
        <v>1144</v>
      </c>
      <c r="J137" s="43">
        <v>1290.31</v>
      </c>
      <c r="K137" s="43">
        <v>1710.3</v>
      </c>
      <c r="L137" s="43">
        <v>1926.8</v>
      </c>
      <c r="M137" s="44">
        <f t="shared" si="1"/>
        <v>12.658597906799972</v>
      </c>
    </row>
    <row r="138" spans="1:13" ht="37.5" customHeight="1">
      <c r="A138" s="38" t="s">
        <v>153</v>
      </c>
      <c r="B138" s="49" t="s">
        <v>32</v>
      </c>
      <c r="C138" s="49" t="s">
        <v>32</v>
      </c>
      <c r="D138" s="49" t="s">
        <v>32</v>
      </c>
      <c r="E138" s="49" t="s">
        <v>32</v>
      </c>
      <c r="F138" s="48" t="s">
        <v>32</v>
      </c>
      <c r="G138" s="66" t="s">
        <v>32</v>
      </c>
      <c r="H138" s="66">
        <v>185</v>
      </c>
      <c r="I138" s="66">
        <v>262</v>
      </c>
      <c r="J138" s="49">
        <v>264.77999999999997</v>
      </c>
      <c r="K138" s="49">
        <v>297.39999999999998</v>
      </c>
      <c r="L138" s="49">
        <v>396.9</v>
      </c>
      <c r="M138" s="48">
        <f t="shared" ref="M138:M143" si="2">(L138/K138-1)*100</f>
        <v>33.456624075319439</v>
      </c>
    </row>
    <row r="139" spans="1:13">
      <c r="A139" s="37" t="s">
        <v>154</v>
      </c>
      <c r="B139" s="43" t="s">
        <v>32</v>
      </c>
      <c r="C139" s="43" t="s">
        <v>32</v>
      </c>
      <c r="D139" s="43" t="s">
        <v>32</v>
      </c>
      <c r="E139" s="43" t="s">
        <v>32</v>
      </c>
      <c r="F139" s="44" t="s">
        <v>32</v>
      </c>
      <c r="G139" s="52" t="s">
        <v>32</v>
      </c>
      <c r="H139" s="52">
        <v>30868</v>
      </c>
      <c r="I139" s="52">
        <v>6873</v>
      </c>
      <c r="J139" s="53">
        <v>4302.78</v>
      </c>
      <c r="K139" s="53">
        <v>3517.2</v>
      </c>
      <c r="L139" s="53">
        <v>-1165.0999999999999</v>
      </c>
      <c r="M139" s="44">
        <f t="shared" si="2"/>
        <v>-133.12578187194359</v>
      </c>
    </row>
    <row r="140" spans="1:13">
      <c r="A140" s="37" t="s">
        <v>155</v>
      </c>
      <c r="B140" s="49" t="s">
        <v>32</v>
      </c>
      <c r="C140" s="49" t="s">
        <v>32</v>
      </c>
      <c r="D140" s="49" t="s">
        <v>32</v>
      </c>
      <c r="E140" s="49" t="s">
        <v>32</v>
      </c>
      <c r="F140" s="48" t="s">
        <v>32</v>
      </c>
      <c r="G140" s="67" t="s">
        <v>32</v>
      </c>
      <c r="H140" s="67">
        <v>618</v>
      </c>
      <c r="I140" s="67">
        <v>1944</v>
      </c>
      <c r="J140" s="69">
        <v>2077.1</v>
      </c>
      <c r="K140" s="68">
        <v>3855.3</v>
      </c>
      <c r="L140" s="68">
        <v>12911.7</v>
      </c>
      <c r="M140" s="48">
        <f t="shared" si="2"/>
        <v>234.90778927709908</v>
      </c>
    </row>
    <row r="141" spans="1:13">
      <c r="A141" s="35" t="s">
        <v>128</v>
      </c>
      <c r="B141" s="59">
        <v>37598</v>
      </c>
      <c r="C141" s="59">
        <v>51301.48</v>
      </c>
      <c r="D141" s="59">
        <v>60715.42</v>
      </c>
      <c r="E141" s="59">
        <v>57455.839999999997</v>
      </c>
      <c r="F141" s="59">
        <v>71191</v>
      </c>
      <c r="G141" s="21">
        <v>96670</v>
      </c>
      <c r="H141" s="21">
        <v>130901</v>
      </c>
      <c r="I141" s="21">
        <v>150974</v>
      </c>
      <c r="J141" s="62">
        <f>SUM(J8:J140)</f>
        <v>164199.20599999998</v>
      </c>
      <c r="K141" s="62">
        <f>SUM(K8:K140)</f>
        <v>221234.00000000003</v>
      </c>
      <c r="L141" s="62">
        <f>SUM(L8:L140)</f>
        <v>249487.79999999993</v>
      </c>
      <c r="M141" s="44">
        <f t="shared" si="2"/>
        <v>12.771002648779085</v>
      </c>
    </row>
    <row r="142" spans="1:13">
      <c r="A142" s="40" t="s">
        <v>156</v>
      </c>
      <c r="B142" s="14"/>
      <c r="C142" s="14"/>
      <c r="D142" s="14"/>
      <c r="E142" s="14"/>
      <c r="F142" s="14"/>
      <c r="G142" s="3"/>
      <c r="H142" s="3"/>
      <c r="I142" s="3">
        <v>3809</v>
      </c>
      <c r="J142" s="15">
        <v>3770</v>
      </c>
      <c r="K142" s="15">
        <v>4862</v>
      </c>
      <c r="L142" s="15">
        <v>5003</v>
      </c>
      <c r="M142" s="6">
        <f t="shared" si="2"/>
        <v>2.9000411353352629</v>
      </c>
    </row>
    <row r="143" spans="1:13">
      <c r="A143" s="40" t="s">
        <v>157</v>
      </c>
      <c r="B143" s="59"/>
      <c r="C143" s="59"/>
      <c r="D143" s="59"/>
      <c r="E143" s="59"/>
      <c r="F143" s="59"/>
      <c r="G143" s="21"/>
      <c r="H143" s="21"/>
      <c r="I143" s="21">
        <f>I141+I142</f>
        <v>154783</v>
      </c>
      <c r="J143" s="21">
        <f t="shared" ref="J143:L143" si="3">J141+J142</f>
        <v>167969.20599999998</v>
      </c>
      <c r="K143" s="21">
        <f t="shared" si="3"/>
        <v>226096.00000000003</v>
      </c>
      <c r="L143" s="21">
        <f t="shared" si="3"/>
        <v>254490.79999999993</v>
      </c>
      <c r="M143" s="44">
        <f t="shared" si="2"/>
        <v>12.558736112093927</v>
      </c>
    </row>
    <row r="144" spans="1:13">
      <c r="A144" s="73" t="s">
        <v>158</v>
      </c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</row>
    <row r="145" spans="1:12">
      <c r="A145" s="74"/>
      <c r="B145" s="74"/>
      <c r="C145" s="74"/>
      <c r="D145" s="74"/>
      <c r="E145" s="74"/>
      <c r="F145" s="74"/>
    </row>
    <row r="146" spans="1:12">
      <c r="A146" s="16"/>
      <c r="B146" s="16"/>
      <c r="C146" s="16"/>
      <c r="D146" s="16"/>
      <c r="E146" s="17"/>
      <c r="F146" s="16"/>
      <c r="K146" s="18"/>
      <c r="L146" s="18"/>
    </row>
    <row r="153" spans="1:12">
      <c r="G153" s="1" t="s">
        <v>118</v>
      </c>
    </row>
  </sheetData>
  <mergeCells count="4">
    <mergeCell ref="A2:M2"/>
    <mergeCell ref="A4:M4"/>
    <mergeCell ref="A144:M144"/>
    <mergeCell ref="A145:F145"/>
  </mergeCells>
  <pageMargins left="0.7" right="0.7" top="0.75" bottom="0.75" header="0.3" footer="0.3"/>
  <pageSetup scale="54" orientation="portrait" r:id="rId1"/>
  <rowBreaks count="1" manualBreakCount="1">
    <brk id="68" max="12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6.16</vt:lpstr>
      <vt:lpstr>'Table 6.16'!Print_Area</vt:lpstr>
    </vt:vector>
  </TitlesOfParts>
  <Company>tru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joshi</dc:creator>
  <cp:lastModifiedBy>admin</cp:lastModifiedBy>
  <cp:lastPrinted>2015-12-09T06:45:55Z</cp:lastPrinted>
  <dcterms:created xsi:type="dcterms:W3CDTF">2010-06-08T07:45:22Z</dcterms:created>
  <dcterms:modified xsi:type="dcterms:W3CDTF">2018-09-07T10:58:19Z</dcterms:modified>
</cp:coreProperties>
</file>